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Madhavi 2017\"/>
    </mc:Choice>
  </mc:AlternateContent>
  <xr:revisionPtr revIDLastSave="0" documentId="13_ncr:1_{72C94763-A5DB-4AD0-9345-ABEB6B3983C9}" xr6:coauthVersionLast="47" xr6:coauthVersionMax="47" xr10:uidLastSave="{00000000-0000-0000-0000-000000000000}"/>
  <bookViews>
    <workbookView xWindow="-108" yWindow="-108" windowWidth="23256" windowHeight="12576" firstSheet="73" activeTab="80" xr2:uid="{00000000-000D-0000-FFFF-FFFF00000000}"/>
  </bookViews>
  <sheets>
    <sheet name="NOV-2018" sheetId="1" r:id="rId1"/>
    <sheet name="DEC-2018" sheetId="3" r:id="rId2"/>
    <sheet name="JAN 2019" sheetId="4" r:id="rId3"/>
    <sheet name="FEB 2019" sheetId="5" r:id="rId4"/>
    <sheet name="MARCH 2019" sheetId="6" r:id="rId5"/>
    <sheet name="APRIL 2019" sheetId="7" r:id="rId6"/>
    <sheet name="MAY 2019" sheetId="8" r:id="rId7"/>
    <sheet name="JUNE 2019" sheetId="9" r:id="rId8"/>
    <sheet name="JULY 2019" sheetId="10" r:id="rId9"/>
    <sheet name="AUGUST 2019" sheetId="11" r:id="rId10"/>
    <sheet name="SEP 2019" sheetId="12" r:id="rId11"/>
    <sheet name="OCT 2019" sheetId="13" r:id="rId12"/>
    <sheet name="NOV 2019" sheetId="14" r:id="rId13"/>
    <sheet name="DEC 2019" sheetId="15" r:id="rId14"/>
    <sheet name="JAN 2020" sheetId="16" r:id="rId15"/>
    <sheet name="FEB 2020" sheetId="17" r:id="rId16"/>
    <sheet name="MARCH 2020" sheetId="18" r:id="rId17"/>
    <sheet name="APRIL 2020" sheetId="19" r:id="rId18"/>
    <sheet name="MAY 2020" sheetId="20" r:id="rId19"/>
    <sheet name="JUN 2020" sheetId="21" r:id="rId20"/>
    <sheet name="JULY 2020" sheetId="22" r:id="rId21"/>
    <sheet name="AUGUST 2020" sheetId="23" r:id="rId22"/>
    <sheet name="SEP 2020" sheetId="24" r:id="rId23"/>
    <sheet name="OCT 2020" sheetId="25" r:id="rId24"/>
    <sheet name="NOV 2020" sheetId="26" r:id="rId25"/>
    <sheet name="DEC 2020" sheetId="27" r:id="rId26"/>
    <sheet name="JAN 2021" sheetId="28" r:id="rId27"/>
    <sheet name="FEB 2021" sheetId="29" r:id="rId28"/>
    <sheet name="MARCH 2021" sheetId="30" r:id="rId29"/>
    <sheet name="APRIL 2021" sheetId="31" r:id="rId30"/>
    <sheet name="MAY 2021" sheetId="32" r:id="rId31"/>
    <sheet name="JUNE 2021" sheetId="33" r:id="rId32"/>
    <sheet name="JULY 2021" sheetId="35" r:id="rId33"/>
    <sheet name="AUGUST 2021" sheetId="34" r:id="rId34"/>
    <sheet name="SEP 2021" sheetId="36" r:id="rId35"/>
    <sheet name="OCT 2021" sheetId="37" r:id="rId36"/>
    <sheet name="NOV 2021" sheetId="38" r:id="rId37"/>
    <sheet name="DEC 2021" sheetId="39" r:id="rId38"/>
    <sheet name="JAN 2022" sheetId="40" r:id="rId39"/>
    <sheet name="FEB 2022" sheetId="41" r:id="rId40"/>
    <sheet name="MARCH 2022" sheetId="42" r:id="rId41"/>
    <sheet name="APRIL 2022" sheetId="43" r:id="rId42"/>
    <sheet name="MAY 2022" sheetId="44" r:id="rId43"/>
    <sheet name="JUN 2022" sheetId="45" r:id="rId44"/>
    <sheet name="JULY 2022" sheetId="46" r:id="rId45"/>
    <sheet name="AUGUST 2022" sheetId="47" r:id="rId46"/>
    <sheet name="SEP 2022" sheetId="48" r:id="rId47"/>
    <sheet name="OCT 2022" sheetId="49" r:id="rId48"/>
    <sheet name="NOV 2022" sheetId="50" r:id="rId49"/>
    <sheet name="DEC 2022" sheetId="51" r:id="rId50"/>
    <sheet name="JAN 2023" sheetId="52" r:id="rId51"/>
    <sheet name="FEB 2023" sheetId="53" r:id="rId52"/>
    <sheet name="MARCH 2023" sheetId="54" r:id="rId53"/>
    <sheet name="APRIL 2023" sheetId="55" r:id="rId54"/>
    <sheet name="MAY 2023" sheetId="56" r:id="rId55"/>
    <sheet name="JUN 2023" sheetId="57" r:id="rId56"/>
    <sheet name="JULY 2023" sheetId="58" r:id="rId57"/>
    <sheet name="AUGUST 2023" sheetId="59" r:id="rId58"/>
    <sheet name="SEP 2023" sheetId="60" r:id="rId59"/>
    <sheet name="OCT 2023" sheetId="62" r:id="rId60"/>
    <sheet name="NOV-2023" sheetId="64" r:id="rId61"/>
    <sheet name="DEC 2023" sheetId="65" r:id="rId62"/>
    <sheet name="JAN 2024" sheetId="66" r:id="rId63"/>
    <sheet name="FEB 2024" sheetId="67" r:id="rId64"/>
    <sheet name="MARCH 2024" sheetId="68" r:id="rId65"/>
    <sheet name="APRIL 2024" sheetId="69" r:id="rId66"/>
    <sheet name="MAY 2024" sheetId="70" r:id="rId67"/>
    <sheet name="JUN 2024" sheetId="71" r:id="rId68"/>
    <sheet name="JULY 2024" sheetId="72" r:id="rId69"/>
    <sheet name="AUGUST 2024" sheetId="73" r:id="rId70"/>
    <sheet name="SEP 2024" sheetId="74" r:id="rId71"/>
    <sheet name="OCT 2024" sheetId="75" r:id="rId72"/>
    <sheet name="NOV 2024" sheetId="76" r:id="rId73"/>
    <sheet name="DEC 2024" sheetId="77" r:id="rId74"/>
    <sheet name="JAN 2025" sheetId="78" r:id="rId75"/>
    <sheet name="FEB 2025" sheetId="79" r:id="rId76"/>
    <sheet name="MARCH 2025" sheetId="80" r:id="rId77"/>
    <sheet name="APRIL 2025" sheetId="81" r:id="rId78"/>
    <sheet name="MAY 2025" sheetId="82" r:id="rId79"/>
    <sheet name="JUN 2025" sheetId="83" r:id="rId80"/>
    <sheet name="JULY 2025" sheetId="84" r:id="rId81"/>
    <sheet name="MASTER" sheetId="2" r:id="rId82"/>
  </sheets>
  <definedNames>
    <definedName name="_xlnm.Print_Area" localSheetId="5">'APRIL 2019'!$A$1:$K$34,'APRIL 2019'!#REF!,'APRIL 2019'!#REF!,'APRIL 2019'!$M$2:$R$10</definedName>
    <definedName name="_xlnm.Print_Area" localSheetId="17">'APRIL 2020'!$A$1:$K$34,'APRIL 2020'!#REF!,'APRIL 2020'!#REF!,'APRIL 2020'!$M$2:$R$10</definedName>
    <definedName name="_xlnm.Print_Area" localSheetId="29">'APRIL 2021'!$A$1:$K$34,'APRIL 2021'!#REF!,'APRIL 2021'!#REF!,'APRIL 2021'!$M$2:$R$10</definedName>
    <definedName name="_xlnm.Print_Area" localSheetId="41">'APRIL 2022'!$A$1:$K$34,'APRIL 2022'!#REF!,'APRIL 2022'!#REF!,'APRIL 2022'!$M$2:$R$10</definedName>
    <definedName name="_xlnm.Print_Area" localSheetId="53">'APRIL 2023'!$A$1:$K$35,'APRIL 2023'!#REF!,'APRIL 2023'!#REF!,'APRIL 2023'!$M$2:$R$10</definedName>
    <definedName name="_xlnm.Print_Area" localSheetId="65">'APRIL 2024'!$A$1:$K$34,'APRIL 2024'!#REF!,'APRIL 2024'!#REF!,'APRIL 2024'!$M$2:$R$10</definedName>
    <definedName name="_xlnm.Print_Area" localSheetId="77">'APRIL 2025'!$A$1:$K$34,'APRIL 2025'!#REF!,'APRIL 2025'!#REF!,'APRIL 2025'!$M$2:$R$10</definedName>
    <definedName name="_xlnm.Print_Area" localSheetId="9">'AUGUST 2019'!$A$1:$K$34,'AUGUST 2019'!#REF!,'AUGUST 2019'!#REF!,'AUGUST 2019'!$M$2:$R$10</definedName>
    <definedName name="_xlnm.Print_Area" localSheetId="21">'AUGUST 2020'!$A$1:$K$34,'AUGUST 2020'!#REF!,'AUGUST 2020'!#REF!,'AUGUST 2020'!$M$2:$R$10</definedName>
    <definedName name="_xlnm.Print_Area" localSheetId="33">'AUGUST 2021'!$A$1:$K$34,'AUGUST 2021'!#REF!,'AUGUST 2021'!#REF!,'AUGUST 2021'!$M$2:$R$10</definedName>
    <definedName name="_xlnm.Print_Area" localSheetId="45">'AUGUST 2022'!$A$1:$K$35,'AUGUST 2022'!#REF!,'AUGUST 2022'!#REF!,'AUGUST 2022'!$M$2:$R$10</definedName>
    <definedName name="_xlnm.Print_Area" localSheetId="57">'AUGUST 2023'!$A$1:$K$35,'AUGUST 2023'!#REF!,'AUGUST 2023'!#REF!,'AUGUST 2023'!$M$2:$R$10</definedName>
    <definedName name="_xlnm.Print_Area" localSheetId="69">'AUGUST 2024'!$A$1:$K$34,'AUGUST 2024'!#REF!,'AUGUST 2024'!#REF!,'AUGUST 2024'!$M$2:$R$10</definedName>
    <definedName name="_xlnm.Print_Area" localSheetId="13">'DEC 2019'!$A$1:$K$34,'DEC 2019'!#REF!,'DEC 2019'!#REF!,'DEC 2019'!$M$2:$R$10</definedName>
    <definedName name="_xlnm.Print_Area" localSheetId="25">'DEC 2020'!$A$1:$K$34,'DEC 2020'!#REF!,'DEC 2020'!#REF!,'DEC 2020'!$M$2:$R$10</definedName>
    <definedName name="_xlnm.Print_Area" localSheetId="37">'DEC 2021'!$A$1:$K$34,'DEC 2021'!#REF!,'DEC 2021'!#REF!,'DEC 2021'!$M$2:$R$10</definedName>
    <definedName name="_xlnm.Print_Area" localSheetId="49">'DEC 2022'!$A$1:$K$35,'DEC 2022'!#REF!,'DEC 2022'!#REF!,'DEC 2022'!$M$2:$R$10</definedName>
    <definedName name="_xlnm.Print_Area" localSheetId="61">'DEC 2023'!$A$1:$K$34,'DEC 2023'!#REF!,'DEC 2023'!#REF!,'DEC 2023'!$M$2:$R$10</definedName>
    <definedName name="_xlnm.Print_Area" localSheetId="73">'DEC 2024'!$A$1:$K$34,'DEC 2024'!#REF!,'DEC 2024'!#REF!,'DEC 2024'!$M$2:$R$10</definedName>
    <definedName name="_xlnm.Print_Area" localSheetId="1">'DEC-2018'!$A$1:$K$34,'DEC-2018'!#REF!,'DEC-2018'!#REF!,'DEC-2018'!$M$2:$R$10</definedName>
    <definedName name="_xlnm.Print_Area" localSheetId="3">'FEB 2019'!$A$1:$K$34,'FEB 2019'!#REF!,'FEB 2019'!#REF!,'FEB 2019'!$M$2:$R$10</definedName>
    <definedName name="_xlnm.Print_Area" localSheetId="15">'FEB 2020'!$A$1:$K$34,'FEB 2020'!#REF!,'FEB 2020'!#REF!,'FEB 2020'!$M$2:$R$10</definedName>
    <definedName name="_xlnm.Print_Area" localSheetId="27">'FEB 2021'!$A$1:$K$34,'FEB 2021'!#REF!,'FEB 2021'!#REF!,'FEB 2021'!$M$2:$R$10</definedName>
    <definedName name="_xlnm.Print_Area" localSheetId="39">'FEB 2022'!$A$1:$K$34,'FEB 2022'!#REF!,'FEB 2022'!#REF!,'FEB 2022'!$M$2:$R$10</definedName>
    <definedName name="_xlnm.Print_Area" localSheetId="51">'FEB 2023'!$A$1:$K$35,'FEB 2023'!#REF!,'FEB 2023'!#REF!,'FEB 2023'!$M$2:$R$10</definedName>
    <definedName name="_xlnm.Print_Area" localSheetId="63">'FEB 2024'!$A$1:$K$34,'FEB 2024'!#REF!,'FEB 2024'!#REF!,'FEB 2024'!$M$2:$R$10</definedName>
    <definedName name="_xlnm.Print_Area" localSheetId="75">'FEB 2025'!$A$1:$K$34,'FEB 2025'!#REF!,'FEB 2025'!#REF!,'FEB 2025'!$M$2:$R$10</definedName>
    <definedName name="_xlnm.Print_Area" localSheetId="2">'JAN 2019'!$A$1:$K$34,'JAN 2019'!#REF!,'JAN 2019'!#REF!,'JAN 2019'!$M$2:$R$10</definedName>
    <definedName name="_xlnm.Print_Area" localSheetId="14">'JAN 2020'!$A$1:$K$34,'JAN 2020'!#REF!,'JAN 2020'!#REF!,'JAN 2020'!$M$2:$R$10</definedName>
    <definedName name="_xlnm.Print_Area" localSheetId="26">'JAN 2021'!$A$1:$K$34,'JAN 2021'!#REF!,'JAN 2021'!#REF!,'JAN 2021'!$M$2:$R$10</definedName>
    <definedName name="_xlnm.Print_Area" localSheetId="38">'JAN 2022'!$A$1:$K$34,'JAN 2022'!#REF!,'JAN 2022'!#REF!,'JAN 2022'!$M$2:$R$10</definedName>
    <definedName name="_xlnm.Print_Area" localSheetId="50">'JAN 2023'!$A$1:$K$35,'JAN 2023'!#REF!,'JAN 2023'!#REF!,'JAN 2023'!$M$2:$R$10</definedName>
    <definedName name="_xlnm.Print_Area" localSheetId="62">'JAN 2024'!$A$1:$K$34,'JAN 2024'!#REF!,'JAN 2024'!#REF!,'JAN 2024'!$M$2:$R$10</definedName>
    <definedName name="_xlnm.Print_Area" localSheetId="74">'JAN 2025'!$A$1:$K$34,'JAN 2025'!#REF!,'JAN 2025'!#REF!,'JAN 2025'!$M$2:$R$10</definedName>
    <definedName name="_xlnm.Print_Area" localSheetId="8">'JULY 2019'!$A$1:$K$34,'JULY 2019'!#REF!,'JULY 2019'!#REF!,'JULY 2019'!$M$2:$R$10</definedName>
    <definedName name="_xlnm.Print_Area" localSheetId="20">'JULY 2020'!$A$1:$K$34,'JULY 2020'!#REF!,'JULY 2020'!#REF!,'JULY 2020'!$M$2:$R$10</definedName>
    <definedName name="_xlnm.Print_Area" localSheetId="32">'JULY 2021'!$A$1:$K$34,'JULY 2021'!#REF!,'JULY 2021'!#REF!,'JULY 2021'!$M$2:$R$10</definedName>
    <definedName name="_xlnm.Print_Area" localSheetId="44">'JULY 2022'!$A$1:$K$35,'JULY 2022'!#REF!,'JULY 2022'!#REF!,'JULY 2022'!$M$2:$R$10</definedName>
    <definedName name="_xlnm.Print_Area" localSheetId="56">'JULY 2023'!$A$1:$K$35,'JULY 2023'!#REF!,'JULY 2023'!#REF!,'JULY 2023'!$M$2:$R$10</definedName>
    <definedName name="_xlnm.Print_Area" localSheetId="68">'JULY 2024'!$A$1:$K$34,'JULY 2024'!#REF!,'JULY 2024'!#REF!,'JULY 2024'!$M$2:$R$10</definedName>
    <definedName name="_xlnm.Print_Area" localSheetId="80">'JULY 2025'!$A$1:$K$34,'JULY 2025'!#REF!,'JULY 2025'!#REF!,'JULY 2025'!$M$2:$R$10</definedName>
    <definedName name="_xlnm.Print_Area" localSheetId="19">'JUN 2020'!$A$1:$K$34,'JUN 2020'!#REF!,'JUN 2020'!#REF!,'JUN 2020'!$M$2:$R$10</definedName>
    <definedName name="_xlnm.Print_Area" localSheetId="43">'JUN 2022'!$A$1:$K$34,'JUN 2022'!#REF!,'JUN 2022'!#REF!,'JUN 2022'!$M$2:$R$10</definedName>
    <definedName name="_xlnm.Print_Area" localSheetId="55">'JUN 2023'!$A$1:$K$35,'JUN 2023'!#REF!,'JUN 2023'!#REF!,'JUN 2023'!$M$2:$R$10</definedName>
    <definedName name="_xlnm.Print_Area" localSheetId="67">'JUN 2024'!$A$1:$K$34,'JUN 2024'!#REF!,'JUN 2024'!#REF!,'JUN 2024'!$M$2:$R$10</definedName>
    <definedName name="_xlnm.Print_Area" localSheetId="79">'JUN 2025'!$A$1:$K$34,'JUN 2025'!#REF!,'JUN 2025'!#REF!,'JUN 2025'!$M$2:$R$10</definedName>
    <definedName name="_xlnm.Print_Area" localSheetId="7">'JUNE 2019'!$A$1:$K$34,'JUNE 2019'!#REF!,'JUNE 2019'!#REF!,'JUNE 2019'!$M$2:$R$10</definedName>
    <definedName name="_xlnm.Print_Area" localSheetId="31">'JUNE 2021'!$A$1:$K$34,'JUNE 2021'!#REF!,'JUNE 2021'!#REF!,'JUNE 2021'!$M$2:$R$10</definedName>
    <definedName name="_xlnm.Print_Area" localSheetId="4">'MARCH 2019'!$A$1:$K$34,'MARCH 2019'!#REF!,'MARCH 2019'!#REF!,'MARCH 2019'!$M$2:$R$10</definedName>
    <definedName name="_xlnm.Print_Area" localSheetId="16">'MARCH 2020'!$A$1:$K$34,'MARCH 2020'!#REF!,'MARCH 2020'!#REF!,'MARCH 2020'!$M$2:$R$10</definedName>
    <definedName name="_xlnm.Print_Area" localSheetId="28">'MARCH 2021'!$A$1:$K$34,'MARCH 2021'!#REF!,'MARCH 2021'!#REF!,'MARCH 2021'!$M$2:$R$10</definedName>
    <definedName name="_xlnm.Print_Area" localSheetId="40">'MARCH 2022'!$A$1:$K$34,'MARCH 2022'!#REF!,'MARCH 2022'!#REF!,'MARCH 2022'!$M$2:$R$10</definedName>
    <definedName name="_xlnm.Print_Area" localSheetId="52">'MARCH 2023'!$A$1:$K$35,'MARCH 2023'!#REF!,'MARCH 2023'!#REF!,'MARCH 2023'!$M$2:$R$10</definedName>
    <definedName name="_xlnm.Print_Area" localSheetId="64">'MARCH 2024'!$A$1:$K$34,'MARCH 2024'!#REF!,'MARCH 2024'!#REF!,'MARCH 2024'!$M$2:$R$10</definedName>
    <definedName name="_xlnm.Print_Area" localSheetId="76">'MARCH 2025'!$A$1:$K$34,'MARCH 2025'!#REF!,'MARCH 2025'!#REF!,'MARCH 2025'!$M$2:$R$10</definedName>
    <definedName name="_xlnm.Print_Area" localSheetId="6">'MAY 2019'!$A$1:$K$34,'MAY 2019'!#REF!,'MAY 2019'!#REF!,'MAY 2019'!$M$2:$R$10</definedName>
    <definedName name="_xlnm.Print_Area" localSheetId="18">'MAY 2020'!$A$1:$K$34,'MAY 2020'!#REF!,'MAY 2020'!#REF!,'MAY 2020'!$M$2:$R$10</definedName>
    <definedName name="_xlnm.Print_Area" localSheetId="30">'MAY 2021'!$A$1:$K$34,'MAY 2021'!#REF!,'MAY 2021'!#REF!,'MAY 2021'!$M$2:$R$10</definedName>
    <definedName name="_xlnm.Print_Area" localSheetId="42">'MAY 2022'!$A$1:$K$34,'MAY 2022'!#REF!,'MAY 2022'!#REF!,'MAY 2022'!$M$2:$R$10</definedName>
    <definedName name="_xlnm.Print_Area" localSheetId="54">'MAY 2023'!$A$1:$K$35,'MAY 2023'!#REF!,'MAY 2023'!#REF!,'MAY 2023'!$M$2:$R$10</definedName>
    <definedName name="_xlnm.Print_Area" localSheetId="66">'MAY 2024'!$A$1:$K$34,'MAY 2024'!#REF!,'MAY 2024'!#REF!,'MAY 2024'!$M$2:$R$10</definedName>
    <definedName name="_xlnm.Print_Area" localSheetId="78">'MAY 2025'!$A$1:$K$34,'MAY 2025'!#REF!,'MAY 2025'!#REF!,'MAY 2025'!$M$2:$R$10</definedName>
    <definedName name="_xlnm.Print_Area" localSheetId="12">'NOV 2019'!$A$1:$K$34,'NOV 2019'!#REF!,'NOV 2019'!#REF!,'NOV 2019'!$M$2:$R$10</definedName>
    <definedName name="_xlnm.Print_Area" localSheetId="24">'NOV 2020'!$A$1:$K$34,'NOV 2020'!#REF!,'NOV 2020'!#REF!,'NOV 2020'!$M$2:$R$10</definedName>
    <definedName name="_xlnm.Print_Area" localSheetId="36">'NOV 2021'!$A$1:$K$34,'NOV 2021'!#REF!,'NOV 2021'!#REF!,'NOV 2021'!$M$2:$R$10</definedName>
    <definedName name="_xlnm.Print_Area" localSheetId="48">'NOV 2022'!$A$1:$K$35,'NOV 2022'!#REF!,'NOV 2022'!#REF!,'NOV 2022'!$M$2:$R$10</definedName>
    <definedName name="_xlnm.Print_Area" localSheetId="72">'NOV 2024'!$A$1:$K$34,'NOV 2024'!#REF!,'NOV 2024'!#REF!,'NOV 2024'!$M$2:$R$10</definedName>
    <definedName name="_xlnm.Print_Area" localSheetId="0">'NOV-2018'!$A$1:$K$30,'NOV-2018'!#REF!,'NOV-2018'!#REF!,'NOV-2018'!$M$2:$R$10</definedName>
    <definedName name="_xlnm.Print_Area" localSheetId="60">'NOV-2023'!$A$1:$K$34,'NOV-2023'!#REF!,'NOV-2023'!#REF!,'NOV-2023'!$M$2:$R$10</definedName>
    <definedName name="_xlnm.Print_Area" localSheetId="11">'OCT 2019'!$A$1:$K$34,'OCT 2019'!#REF!,'OCT 2019'!#REF!,'OCT 2019'!$M$2:$R$10</definedName>
    <definedName name="_xlnm.Print_Area" localSheetId="23">'OCT 2020'!$A$1:$K$34,'OCT 2020'!#REF!,'OCT 2020'!#REF!,'OCT 2020'!$M$2:$R$10</definedName>
    <definedName name="_xlnm.Print_Area" localSheetId="35">'OCT 2021'!$A$1:$K$34,'OCT 2021'!#REF!,'OCT 2021'!#REF!,'OCT 2021'!$M$2:$R$10</definedName>
    <definedName name="_xlnm.Print_Area" localSheetId="47">'OCT 2022'!$A$1:$K$35,'OCT 2022'!#REF!,'OCT 2022'!#REF!,'OCT 2022'!$M$2:$R$10</definedName>
    <definedName name="_xlnm.Print_Area" localSheetId="59">'OCT 2023'!$A$1:$K$34,'OCT 2023'!#REF!,'OCT 2023'!#REF!,'OCT 2023'!$M$2:$R$10</definedName>
    <definedName name="_xlnm.Print_Area" localSheetId="71">'OCT 2024'!$A$1:$K$34,'OCT 2024'!#REF!,'OCT 2024'!#REF!,'OCT 2024'!$M$2:$R$10</definedName>
    <definedName name="_xlnm.Print_Area" localSheetId="10">'SEP 2019'!$A$1:$K$34,'SEP 2019'!#REF!,'SEP 2019'!#REF!,'SEP 2019'!$M$2:$R$10</definedName>
    <definedName name="_xlnm.Print_Area" localSheetId="22">'SEP 2020'!$A$1:$K$34,'SEP 2020'!#REF!,'SEP 2020'!#REF!,'SEP 2020'!$M$2:$R$10</definedName>
    <definedName name="_xlnm.Print_Area" localSheetId="34">'SEP 2021'!$A$1:$K$26,'SEP 2021'!#REF!,'SEP 2021'!#REF!,'SEP 2021'!$M$2:$R$10</definedName>
    <definedName name="_xlnm.Print_Area" localSheetId="46">'SEP 2022'!$A$1:$K$35,'SEP 2022'!#REF!,'SEP 2022'!#REF!,'SEP 2022'!$M$2:$R$10</definedName>
    <definedName name="_xlnm.Print_Area" localSheetId="58">'SEP 2023'!$A$1:$K$35,'SEP 2023'!#REF!,'SEP 2023'!#REF!,'SEP 2023'!$M$2:$R$10</definedName>
    <definedName name="_xlnm.Print_Area" localSheetId="70">'SEP 2024'!$A$1:$K$34,'SEP 2024'!#REF!,'SEP 2024'!#REF!,'SEP 2024'!$M$2:$R$10</definedName>
  </definedNames>
  <calcPr calcId="181029"/>
</workbook>
</file>

<file path=xl/calcChain.xml><?xml version="1.0" encoding="utf-8"?>
<calcChain xmlns="http://schemas.openxmlformats.org/spreadsheetml/2006/main">
  <c r="H27" i="84" l="1"/>
  <c r="H25" i="84"/>
  <c r="H23" i="84"/>
  <c r="H24" i="84"/>
  <c r="H20" i="84"/>
  <c r="H19" i="84"/>
  <c r="H18" i="84"/>
  <c r="H17" i="84"/>
  <c r="H16" i="84"/>
  <c r="H15" i="84"/>
  <c r="H14" i="84"/>
  <c r="H13" i="84"/>
  <c r="H12" i="84"/>
  <c r="H11" i="84"/>
  <c r="H10" i="84"/>
  <c r="J10" i="84" s="1"/>
  <c r="W10" i="84" s="1"/>
  <c r="H9" i="84"/>
  <c r="J9" i="84" s="1"/>
  <c r="W9" i="84" s="1"/>
  <c r="H7" i="84"/>
  <c r="H6" i="84"/>
  <c r="J32" i="84"/>
  <c r="W32" i="84" s="1"/>
  <c r="J31" i="84"/>
  <c r="J30" i="84"/>
  <c r="J29" i="84"/>
  <c r="J28" i="84"/>
  <c r="J27" i="84"/>
  <c r="W27" i="84" s="1"/>
  <c r="J26" i="84"/>
  <c r="V26" i="84" s="1"/>
  <c r="J25" i="84"/>
  <c r="W25" i="84" s="1"/>
  <c r="J24" i="84"/>
  <c r="W24" i="84" s="1"/>
  <c r="J23" i="84"/>
  <c r="W23" i="84" s="1"/>
  <c r="J22" i="84"/>
  <c r="V22" i="84" s="1"/>
  <c r="J21" i="84"/>
  <c r="W21" i="84" s="1"/>
  <c r="J20" i="84"/>
  <c r="W20" i="84" s="1"/>
  <c r="J19" i="84"/>
  <c r="W19" i="84" s="1"/>
  <c r="J18" i="84"/>
  <c r="J17" i="84"/>
  <c r="J16" i="84"/>
  <c r="J15" i="84"/>
  <c r="J14" i="84"/>
  <c r="W14" i="84" s="1"/>
  <c r="J13" i="84"/>
  <c r="W13" i="84" s="1"/>
  <c r="J12" i="84"/>
  <c r="W12" i="84" s="1"/>
  <c r="J11" i="84"/>
  <c r="V11" i="84" s="1"/>
  <c r="J8" i="84"/>
  <c r="J7" i="84"/>
  <c r="J6" i="84"/>
  <c r="N4" i="84"/>
  <c r="N6" i="84" s="1"/>
  <c r="H18" i="83"/>
  <c r="H16" i="83"/>
  <c r="J18" i="83"/>
  <c r="W18" i="83" s="1"/>
  <c r="H17" i="83"/>
  <c r="H9" i="83"/>
  <c r="H8" i="83"/>
  <c r="H7" i="83"/>
  <c r="H15" i="83"/>
  <c r="H13" i="83"/>
  <c r="J13" i="83" s="1"/>
  <c r="W13" i="83" s="1"/>
  <c r="H12" i="83"/>
  <c r="H11" i="83"/>
  <c r="H10" i="83"/>
  <c r="J8" i="83"/>
  <c r="W8" i="83" s="1"/>
  <c r="H6" i="83"/>
  <c r="J32" i="83"/>
  <c r="V32" i="83" s="1"/>
  <c r="J31" i="83"/>
  <c r="J30" i="83"/>
  <c r="J29" i="83"/>
  <c r="J28" i="83"/>
  <c r="J27" i="83"/>
  <c r="W27" i="83" s="1"/>
  <c r="J26" i="83"/>
  <c r="W26" i="83" s="1"/>
  <c r="J25" i="83"/>
  <c r="V25" i="83" s="1"/>
  <c r="J24" i="83"/>
  <c r="W24" i="83" s="1"/>
  <c r="J23" i="83"/>
  <c r="V23" i="83" s="1"/>
  <c r="J22" i="83"/>
  <c r="W22" i="83" s="1"/>
  <c r="J21" i="83"/>
  <c r="V21" i="83" s="1"/>
  <c r="J20" i="83"/>
  <c r="W20" i="83" s="1"/>
  <c r="J19" i="83"/>
  <c r="W19" i="83" s="1"/>
  <c r="J17" i="83"/>
  <c r="V17" i="83" s="1"/>
  <c r="J16" i="83"/>
  <c r="W15" i="83"/>
  <c r="V15" i="83"/>
  <c r="J15" i="83"/>
  <c r="J14" i="83"/>
  <c r="W14" i="83" s="1"/>
  <c r="J12" i="83"/>
  <c r="W12" i="83" s="1"/>
  <c r="J11" i="83"/>
  <c r="W11" i="83" s="1"/>
  <c r="J10" i="83"/>
  <c r="W10" i="83" s="1"/>
  <c r="J9" i="83"/>
  <c r="W9" i="83" s="1"/>
  <c r="J7" i="83"/>
  <c r="W7" i="83" s="1"/>
  <c r="J6" i="83"/>
  <c r="N4" i="83"/>
  <c r="N6" i="83" s="1"/>
  <c r="H16" i="82"/>
  <c r="H14" i="82"/>
  <c r="H13" i="82"/>
  <c r="H12" i="82"/>
  <c r="H11" i="82"/>
  <c r="H10" i="82"/>
  <c r="H8" i="82"/>
  <c r="H6" i="82"/>
  <c r="H7" i="82"/>
  <c r="J32" i="82"/>
  <c r="V32" i="82" s="1"/>
  <c r="J31" i="82"/>
  <c r="J30" i="82"/>
  <c r="J29" i="82"/>
  <c r="J28" i="82"/>
  <c r="W27" i="82"/>
  <c r="V27" i="82"/>
  <c r="J27" i="82"/>
  <c r="W26" i="82"/>
  <c r="V26" i="82"/>
  <c r="J26" i="82"/>
  <c r="J25" i="82"/>
  <c r="W25" i="82" s="1"/>
  <c r="J24" i="82"/>
  <c r="V24" i="82" s="1"/>
  <c r="W23" i="82"/>
  <c r="V23" i="82"/>
  <c r="J23" i="82"/>
  <c r="W22" i="82"/>
  <c r="V22" i="82"/>
  <c r="J22" i="82"/>
  <c r="J21" i="82"/>
  <c r="W21" i="82" s="1"/>
  <c r="J20" i="82"/>
  <c r="V20" i="82" s="1"/>
  <c r="W19" i="82"/>
  <c r="V19" i="82"/>
  <c r="J19" i="82"/>
  <c r="W18" i="82"/>
  <c r="V18" i="82"/>
  <c r="J18" i="82"/>
  <c r="J17" i="82"/>
  <c r="W17" i="82" s="1"/>
  <c r="J16" i="82"/>
  <c r="W16" i="82" s="1"/>
  <c r="J15" i="82"/>
  <c r="J14" i="82"/>
  <c r="J13" i="82"/>
  <c r="J12" i="82"/>
  <c r="J11" i="82"/>
  <c r="J10" i="82"/>
  <c r="V10" i="82" s="1"/>
  <c r="J9" i="82"/>
  <c r="J8" i="82"/>
  <c r="J7" i="82"/>
  <c r="J6" i="82"/>
  <c r="V6" i="82" s="1"/>
  <c r="N4" i="82"/>
  <c r="N6" i="82" s="1"/>
  <c r="H17" i="81"/>
  <c r="H14" i="81"/>
  <c r="J14" i="81" s="1"/>
  <c r="W14" i="81" s="1"/>
  <c r="H13" i="81"/>
  <c r="J13" i="81" s="1"/>
  <c r="V13" i="81" s="1"/>
  <c r="H8" i="81"/>
  <c r="H15" i="81"/>
  <c r="H12" i="81"/>
  <c r="H11" i="81"/>
  <c r="H9" i="81"/>
  <c r="H7" i="81"/>
  <c r="H6" i="81"/>
  <c r="W32" i="81"/>
  <c r="V32" i="81"/>
  <c r="J32" i="81"/>
  <c r="J31" i="81"/>
  <c r="J30" i="81"/>
  <c r="J29" i="81"/>
  <c r="J28" i="81"/>
  <c r="J27" i="81"/>
  <c r="W27" i="81" s="1"/>
  <c r="W26" i="81"/>
  <c r="V26" i="81"/>
  <c r="J26" i="81"/>
  <c r="W25" i="81"/>
  <c r="V25" i="81"/>
  <c r="J25" i="81"/>
  <c r="J24" i="81"/>
  <c r="V24" i="81" s="1"/>
  <c r="J23" i="81"/>
  <c r="W23" i="81" s="1"/>
  <c r="W22" i="81"/>
  <c r="V22" i="81"/>
  <c r="J22" i="81"/>
  <c r="J21" i="81"/>
  <c r="W21" i="81" s="1"/>
  <c r="J20" i="81"/>
  <c r="V20" i="81" s="1"/>
  <c r="J19" i="81"/>
  <c r="W19" i="81" s="1"/>
  <c r="J18" i="81"/>
  <c r="J17" i="81"/>
  <c r="J16" i="81"/>
  <c r="J15" i="81"/>
  <c r="J12" i="81"/>
  <c r="V12" i="81" s="1"/>
  <c r="J11" i="81"/>
  <c r="V11" i="81" s="1"/>
  <c r="J10" i="81"/>
  <c r="V10" i="81" s="1"/>
  <c r="J9" i="81"/>
  <c r="V9" i="81" s="1"/>
  <c r="J8" i="81"/>
  <c r="W8" i="81" s="1"/>
  <c r="J7" i="81"/>
  <c r="V7" i="81" s="1"/>
  <c r="J6" i="81"/>
  <c r="N4" i="81"/>
  <c r="N6" i="81" s="1"/>
  <c r="H18" i="80"/>
  <c r="W26" i="84" l="1"/>
  <c r="V25" i="84"/>
  <c r="W22" i="84"/>
  <c r="V14" i="84"/>
  <c r="V21" i="84"/>
  <c r="W11" i="84"/>
  <c r="V10" i="84"/>
  <c r="V9" i="84"/>
  <c r="V13" i="84"/>
  <c r="V12" i="84"/>
  <c r="V8" i="84"/>
  <c r="W8" i="84"/>
  <c r="V15" i="84"/>
  <c r="W15" i="84"/>
  <c r="V16" i="84"/>
  <c r="W16" i="84"/>
  <c r="J33" i="84"/>
  <c r="V6" i="84"/>
  <c r="W6" i="84"/>
  <c r="V17" i="84"/>
  <c r="W17" i="84"/>
  <c r="V7" i="84"/>
  <c r="W7" i="84"/>
  <c r="V18" i="84"/>
  <c r="W18" i="84"/>
  <c r="V20" i="84"/>
  <c r="V24" i="84"/>
  <c r="V32" i="84"/>
  <c r="V19" i="84"/>
  <c r="V23" i="84"/>
  <c r="V27" i="84"/>
  <c r="W32" i="83"/>
  <c r="W25" i="83"/>
  <c r="W21" i="83"/>
  <c r="V24" i="83"/>
  <c r="W17" i="83"/>
  <c r="V20" i="83"/>
  <c r="W16" i="83"/>
  <c r="V16" i="83"/>
  <c r="W6" i="83"/>
  <c r="J33" i="83"/>
  <c r="V6" i="83"/>
  <c r="V9" i="83"/>
  <c r="V13" i="83"/>
  <c r="W23" i="83"/>
  <c r="V7" i="83"/>
  <c r="V10" i="83"/>
  <c r="V11" i="83"/>
  <c r="V12" i="83"/>
  <c r="V14" i="83"/>
  <c r="V19" i="83"/>
  <c r="V27" i="83"/>
  <c r="V8" i="83"/>
  <c r="V18" i="83"/>
  <c r="V22" i="83"/>
  <c r="V26" i="83"/>
  <c r="V14" i="82"/>
  <c r="W14" i="82"/>
  <c r="V7" i="82"/>
  <c r="W7" i="82"/>
  <c r="V11" i="82"/>
  <c r="W11" i="82"/>
  <c r="V15" i="82"/>
  <c r="W15" i="82"/>
  <c r="V8" i="82"/>
  <c r="W8" i="82"/>
  <c r="V12" i="82"/>
  <c r="W12" i="82"/>
  <c r="W9" i="82"/>
  <c r="V9" i="82"/>
  <c r="V13" i="82"/>
  <c r="W13" i="82"/>
  <c r="V16" i="82"/>
  <c r="V17" i="82"/>
  <c r="V21" i="82"/>
  <c r="V25" i="82"/>
  <c r="W6" i="82"/>
  <c r="W10" i="82"/>
  <c r="W20" i="82"/>
  <c r="W24" i="82"/>
  <c r="W32" i="82"/>
  <c r="J33" i="82"/>
  <c r="V21" i="81"/>
  <c r="V14" i="81"/>
  <c r="W13" i="81"/>
  <c r="V8" i="81"/>
  <c r="V15" i="81"/>
  <c r="W15" i="81"/>
  <c r="J33" i="81"/>
  <c r="V17" i="81"/>
  <c r="W17" i="81"/>
  <c r="V16" i="81"/>
  <c r="W16" i="81"/>
  <c r="V18" i="81"/>
  <c r="W18" i="81"/>
  <c r="V6" i="81"/>
  <c r="W7" i="81"/>
  <c r="W9" i="81"/>
  <c r="W10" i="81"/>
  <c r="W11" i="81"/>
  <c r="W12" i="81"/>
  <c r="V19" i="81"/>
  <c r="W20" i="81"/>
  <c r="V23" i="81"/>
  <c r="W24" i="81"/>
  <c r="V27" i="81"/>
  <c r="W6" i="81"/>
  <c r="H17" i="80"/>
  <c r="H16" i="80"/>
  <c r="H15" i="80"/>
  <c r="H12" i="80"/>
  <c r="H11" i="80"/>
  <c r="H10" i="80"/>
  <c r="H9" i="80"/>
  <c r="H6" i="80"/>
  <c r="J32" i="80"/>
  <c r="W32" i="80" s="1"/>
  <c r="J31" i="80"/>
  <c r="J30" i="80"/>
  <c r="J29" i="80"/>
  <c r="J28" i="80"/>
  <c r="J27" i="80"/>
  <c r="W27" i="80" s="1"/>
  <c r="W26" i="80"/>
  <c r="J26" i="80"/>
  <c r="V26" i="80" s="1"/>
  <c r="W25" i="80"/>
  <c r="V25" i="80"/>
  <c r="J25" i="80"/>
  <c r="J24" i="80"/>
  <c r="W24" i="80" s="1"/>
  <c r="J23" i="80"/>
  <c r="W23" i="80" s="1"/>
  <c r="W22" i="80"/>
  <c r="J22" i="80"/>
  <c r="V22" i="80" s="1"/>
  <c r="J21" i="80"/>
  <c r="J20" i="80"/>
  <c r="J19" i="80"/>
  <c r="J18" i="80"/>
  <c r="J17" i="80"/>
  <c r="J16" i="80"/>
  <c r="J15" i="80"/>
  <c r="J14" i="80"/>
  <c r="J13" i="80"/>
  <c r="W13" i="80" s="1"/>
  <c r="J12" i="80"/>
  <c r="W12" i="80" s="1"/>
  <c r="J11" i="80"/>
  <c r="W11" i="80" s="1"/>
  <c r="J10" i="80"/>
  <c r="W10" i="80" s="1"/>
  <c r="J9" i="80"/>
  <c r="W9" i="80" s="1"/>
  <c r="J8" i="80"/>
  <c r="W8" i="80" s="1"/>
  <c r="J7" i="80"/>
  <c r="W7" i="80" s="1"/>
  <c r="J6" i="80"/>
  <c r="W6" i="80" s="1"/>
  <c r="N4" i="80"/>
  <c r="N6" i="80" s="1"/>
  <c r="H20" i="79"/>
  <c r="H15" i="79"/>
  <c r="W33" i="84" l="1"/>
  <c r="P4" i="84" s="1"/>
  <c r="P6" i="84" s="1"/>
  <c r="V33" i="84"/>
  <c r="O4" i="84" s="1"/>
  <c r="V33" i="83"/>
  <c r="O4" i="83" s="1"/>
  <c r="W33" i="83"/>
  <c r="P4" i="83" s="1"/>
  <c r="P6" i="83" s="1"/>
  <c r="V33" i="82"/>
  <c r="O4" i="82" s="1"/>
  <c r="R4" i="82" s="1"/>
  <c r="W33" i="82"/>
  <c r="P4" i="82" s="1"/>
  <c r="P6" i="82" s="1"/>
  <c r="W33" i="81"/>
  <c r="P4" i="81" s="1"/>
  <c r="P6" i="81" s="1"/>
  <c r="V33" i="81"/>
  <c r="O4" i="81" s="1"/>
  <c r="V13" i="80"/>
  <c r="V6" i="80"/>
  <c r="W17" i="80"/>
  <c r="V17" i="80"/>
  <c r="W21" i="80"/>
  <c r="V21" i="80"/>
  <c r="W14" i="80"/>
  <c r="V14" i="80"/>
  <c r="W18" i="80"/>
  <c r="V18" i="80"/>
  <c r="W15" i="80"/>
  <c r="V15" i="80"/>
  <c r="W19" i="80"/>
  <c r="V19" i="80"/>
  <c r="J33" i="80"/>
  <c r="W16" i="80"/>
  <c r="V16" i="80"/>
  <c r="W20" i="80"/>
  <c r="V20" i="80"/>
  <c r="V7" i="80"/>
  <c r="V9" i="80"/>
  <c r="V10" i="80"/>
  <c r="V11" i="80"/>
  <c r="V12" i="80"/>
  <c r="V24" i="80"/>
  <c r="V32" i="80"/>
  <c r="V8" i="80"/>
  <c r="V23" i="80"/>
  <c r="V27" i="80"/>
  <c r="H21" i="79"/>
  <c r="H19" i="79"/>
  <c r="H18" i="79"/>
  <c r="H17" i="79"/>
  <c r="H16" i="79"/>
  <c r="H14" i="79"/>
  <c r="H8" i="79"/>
  <c r="H11" i="79"/>
  <c r="H12" i="79"/>
  <c r="O6" i="84" l="1"/>
  <c r="R6" i="84" s="1"/>
  <c r="P8" i="84" s="1"/>
  <c r="R4" i="84"/>
  <c r="Q4" i="84"/>
  <c r="Q6" i="84" s="1"/>
  <c r="O6" i="83"/>
  <c r="R6" i="83" s="1"/>
  <c r="P8" i="83" s="1"/>
  <c r="R4" i="83"/>
  <c r="Q4" i="83"/>
  <c r="Q6" i="83" s="1"/>
  <c r="O6" i="82"/>
  <c r="R6" i="82" s="1"/>
  <c r="P8" i="82" s="1"/>
  <c r="Q4" i="82"/>
  <c r="Q6" i="82" s="1"/>
  <c r="O6" i="81"/>
  <c r="R6" i="81" s="1"/>
  <c r="P8" i="81" s="1"/>
  <c r="R4" i="81"/>
  <c r="Q4" i="81"/>
  <c r="Q6" i="81" s="1"/>
  <c r="W33" i="80"/>
  <c r="P4" i="80" s="1"/>
  <c r="P6" i="80" s="1"/>
  <c r="V33" i="80"/>
  <c r="O4" i="80" s="1"/>
  <c r="H10" i="79"/>
  <c r="H7" i="79"/>
  <c r="J7" i="79" s="1"/>
  <c r="W7" i="79" s="1"/>
  <c r="J32" i="79"/>
  <c r="V32" i="79" s="1"/>
  <c r="J31" i="79"/>
  <c r="J30" i="79"/>
  <c r="J29" i="79"/>
  <c r="J28" i="79"/>
  <c r="W27" i="79"/>
  <c r="J27" i="79"/>
  <c r="V27" i="79" s="1"/>
  <c r="J26" i="79"/>
  <c r="W26" i="79" s="1"/>
  <c r="J25" i="79"/>
  <c r="W25" i="79" s="1"/>
  <c r="J24" i="79"/>
  <c r="V24" i="79" s="1"/>
  <c r="J23" i="79"/>
  <c r="V23" i="79" s="1"/>
  <c r="J22" i="79"/>
  <c r="W22" i="79" s="1"/>
  <c r="J21" i="79"/>
  <c r="W21" i="79" s="1"/>
  <c r="J20" i="79"/>
  <c r="V20" i="79" s="1"/>
  <c r="J19" i="79"/>
  <c r="J18" i="79"/>
  <c r="V18" i="79" s="1"/>
  <c r="J17" i="79"/>
  <c r="J16" i="79"/>
  <c r="J15" i="79"/>
  <c r="J14" i="79"/>
  <c r="J13" i="79"/>
  <c r="J12" i="79"/>
  <c r="J11" i="79"/>
  <c r="W11" i="79" s="1"/>
  <c r="J10" i="79"/>
  <c r="V10" i="79" s="1"/>
  <c r="J9" i="79"/>
  <c r="W9" i="79" s="1"/>
  <c r="J8" i="79"/>
  <c r="J6" i="79"/>
  <c r="N4" i="79"/>
  <c r="N6" i="79" s="1"/>
  <c r="H19" i="78"/>
  <c r="H17" i="78"/>
  <c r="J17" i="78" s="1"/>
  <c r="H16" i="78"/>
  <c r="H15" i="78"/>
  <c r="H14" i="78"/>
  <c r="J14" i="78" s="1"/>
  <c r="H13" i="78"/>
  <c r="J13" i="78" s="1"/>
  <c r="W13" i="78" s="1"/>
  <c r="H12" i="78"/>
  <c r="H10" i="78"/>
  <c r="H9" i="78"/>
  <c r="J9" i="78" s="1"/>
  <c r="W9" i="78" s="1"/>
  <c r="H8" i="78"/>
  <c r="J8" i="78" s="1"/>
  <c r="H6" i="78"/>
  <c r="J32" i="78"/>
  <c r="V32" i="78" s="1"/>
  <c r="J31" i="78"/>
  <c r="J30" i="78"/>
  <c r="J29" i="78"/>
  <c r="J28" i="78"/>
  <c r="V27" i="78"/>
  <c r="J27" i="78"/>
  <c r="W27" i="78" s="1"/>
  <c r="J26" i="78"/>
  <c r="W26" i="78" s="1"/>
  <c r="J25" i="78"/>
  <c r="W25" i="78" s="1"/>
  <c r="J24" i="78"/>
  <c r="V24" i="78" s="1"/>
  <c r="J23" i="78"/>
  <c r="W23" i="78" s="1"/>
  <c r="J22" i="78"/>
  <c r="W22" i="78" s="1"/>
  <c r="J21" i="78"/>
  <c r="W21" i="78" s="1"/>
  <c r="W20" i="78"/>
  <c r="J20" i="78"/>
  <c r="V20" i="78" s="1"/>
  <c r="J19" i="78"/>
  <c r="W19" i="78" s="1"/>
  <c r="J18" i="78"/>
  <c r="W18" i="78" s="1"/>
  <c r="J16" i="78"/>
  <c r="V16" i="78" s="1"/>
  <c r="J15" i="78"/>
  <c r="J12" i="78"/>
  <c r="W12" i="78" s="1"/>
  <c r="J11" i="78"/>
  <c r="W11" i="78" s="1"/>
  <c r="J10" i="78"/>
  <c r="W10" i="78" s="1"/>
  <c r="J7" i="78"/>
  <c r="J6" i="78"/>
  <c r="V6" i="78" s="1"/>
  <c r="N4" i="78"/>
  <c r="N6" i="78" s="1"/>
  <c r="R4" i="80" l="1"/>
  <c r="O6" i="80"/>
  <c r="R6" i="80" s="1"/>
  <c r="P8" i="80" s="1"/>
  <c r="Q4" i="80"/>
  <c r="Q6" i="80" s="1"/>
  <c r="W23" i="79"/>
  <c r="V26" i="79"/>
  <c r="V22" i="79"/>
  <c r="V11" i="79"/>
  <c r="V7" i="79"/>
  <c r="W18" i="79"/>
  <c r="J33" i="79"/>
  <c r="W6" i="79"/>
  <c r="V6" i="79"/>
  <c r="W16" i="79"/>
  <c r="V16" i="79"/>
  <c r="W17" i="79"/>
  <c r="V17" i="79"/>
  <c r="W14" i="79"/>
  <c r="V14" i="79"/>
  <c r="V8" i="79"/>
  <c r="W8" i="79"/>
  <c r="W12" i="79"/>
  <c r="V12" i="79"/>
  <c r="V19" i="79"/>
  <c r="W19" i="79"/>
  <c r="W13" i="79"/>
  <c r="V13" i="79"/>
  <c r="W15" i="79"/>
  <c r="V15" i="79"/>
  <c r="V9" i="79"/>
  <c r="V25" i="79"/>
  <c r="W10" i="79"/>
  <c r="W20" i="79"/>
  <c r="W24" i="79"/>
  <c r="W32" i="79"/>
  <c r="V21" i="79"/>
  <c r="W17" i="78"/>
  <c r="V17" i="78"/>
  <c r="V23" i="78"/>
  <c r="V19" i="78"/>
  <c r="V21" i="78"/>
  <c r="W32" i="78"/>
  <c r="V25" i="78"/>
  <c r="W24" i="78"/>
  <c r="W16" i="78"/>
  <c r="V13" i="78"/>
  <c r="J33" i="78"/>
  <c r="W8" i="78"/>
  <c r="V8" i="78"/>
  <c r="W15" i="78"/>
  <c r="V15" i="78"/>
  <c r="V7" i="78"/>
  <c r="W7" i="78"/>
  <c r="V14" i="78"/>
  <c r="W14" i="78"/>
  <c r="W6" i="78"/>
  <c r="V9" i="78"/>
  <c r="V10" i="78"/>
  <c r="V11" i="78"/>
  <c r="V12" i="78"/>
  <c r="V18" i="78"/>
  <c r="V22" i="78"/>
  <c r="V26" i="78"/>
  <c r="H15" i="77"/>
  <c r="H14" i="77"/>
  <c r="H12" i="77"/>
  <c r="J12" i="77" s="1"/>
  <c r="H11" i="77"/>
  <c r="H9" i="77"/>
  <c r="H6" i="77"/>
  <c r="J6" i="77" s="1"/>
  <c r="H10" i="77"/>
  <c r="J10" i="77" s="1"/>
  <c r="W10" i="77" s="1"/>
  <c r="H8" i="77"/>
  <c r="J8" i="77" s="1"/>
  <c r="H7" i="77"/>
  <c r="W32" i="77"/>
  <c r="V32" i="77"/>
  <c r="J32" i="77"/>
  <c r="J31" i="77"/>
  <c r="J30" i="77"/>
  <c r="J29" i="77"/>
  <c r="J28" i="77"/>
  <c r="J27" i="77"/>
  <c r="W27" i="77" s="1"/>
  <c r="J26" i="77"/>
  <c r="W26" i="77" s="1"/>
  <c r="J25" i="77"/>
  <c r="V25" i="77" s="1"/>
  <c r="W24" i="77"/>
  <c r="V24" i="77"/>
  <c r="J24" i="77"/>
  <c r="J23" i="77"/>
  <c r="W23" i="77" s="1"/>
  <c r="J22" i="77"/>
  <c r="W22" i="77" s="1"/>
  <c r="J21" i="77"/>
  <c r="V21" i="77" s="1"/>
  <c r="W20" i="77"/>
  <c r="V20" i="77"/>
  <c r="J20" i="77"/>
  <c r="J19" i="77"/>
  <c r="W19" i="77" s="1"/>
  <c r="J18" i="77"/>
  <c r="W18" i="77" s="1"/>
  <c r="J17" i="77"/>
  <c r="V17" i="77" s="1"/>
  <c r="W16" i="77"/>
  <c r="V16" i="77"/>
  <c r="J16" i="77"/>
  <c r="J15" i="77"/>
  <c r="W15" i="77" s="1"/>
  <c r="J14" i="77"/>
  <c r="W14" i="77" s="1"/>
  <c r="J13" i="77"/>
  <c r="V13" i="77" s="1"/>
  <c r="J11" i="77"/>
  <c r="W11" i="77" s="1"/>
  <c r="J9" i="77"/>
  <c r="W9" i="77" s="1"/>
  <c r="J7" i="77"/>
  <c r="W7" i="77" s="1"/>
  <c r="N4" i="77"/>
  <c r="H12" i="76"/>
  <c r="J12" i="76" s="1"/>
  <c r="W12" i="76" s="1"/>
  <c r="H10" i="76"/>
  <c r="H9" i="76"/>
  <c r="H8" i="76"/>
  <c r="J8" i="76" s="1"/>
  <c r="W8" i="76" s="1"/>
  <c r="J32" i="76"/>
  <c r="W32" i="76" s="1"/>
  <c r="J31" i="76"/>
  <c r="J30" i="76"/>
  <c r="J29" i="76"/>
  <c r="J28" i="76"/>
  <c r="J27" i="76"/>
  <c r="W27" i="76" s="1"/>
  <c r="J26" i="76"/>
  <c r="W26" i="76" s="1"/>
  <c r="J25" i="76"/>
  <c r="W25" i="76" s="1"/>
  <c r="J24" i="76"/>
  <c r="W24" i="76" s="1"/>
  <c r="J23" i="76"/>
  <c r="W23" i="76" s="1"/>
  <c r="J22" i="76"/>
  <c r="V22" i="76" s="1"/>
  <c r="J21" i="76"/>
  <c r="W21" i="76" s="1"/>
  <c r="J20" i="76"/>
  <c r="W20" i="76" s="1"/>
  <c r="J19" i="76"/>
  <c r="W19" i="76" s="1"/>
  <c r="J18" i="76"/>
  <c r="W18" i="76" s="1"/>
  <c r="J17" i="76"/>
  <c r="W17" i="76" s="1"/>
  <c r="J16" i="76"/>
  <c r="W16" i="76" s="1"/>
  <c r="J15" i="76"/>
  <c r="W15" i="76" s="1"/>
  <c r="J14" i="76"/>
  <c r="W14" i="76" s="1"/>
  <c r="J13" i="76"/>
  <c r="W13" i="76" s="1"/>
  <c r="J11" i="76"/>
  <c r="V11" i="76" s="1"/>
  <c r="J10" i="76"/>
  <c r="W10" i="76" s="1"/>
  <c r="J9" i="76"/>
  <c r="W9" i="76" s="1"/>
  <c r="J7" i="76"/>
  <c r="V7" i="76" s="1"/>
  <c r="Q6" i="76"/>
  <c r="P6" i="76"/>
  <c r="O6" i="76"/>
  <c r="J6" i="76"/>
  <c r="N4" i="76"/>
  <c r="N6" i="76" s="1"/>
  <c r="H13" i="75"/>
  <c r="H12" i="75"/>
  <c r="H11" i="75"/>
  <c r="J11" i="75" s="1"/>
  <c r="H10" i="75"/>
  <c r="J10" i="75" s="1"/>
  <c r="W10" i="75" s="1"/>
  <c r="H9" i="75"/>
  <c r="H7" i="75"/>
  <c r="H6" i="75"/>
  <c r="J6" i="75" s="1"/>
  <c r="W6" i="75" s="1"/>
  <c r="W32" i="75"/>
  <c r="J32" i="75"/>
  <c r="V32" i="75" s="1"/>
  <c r="J31" i="75"/>
  <c r="J30" i="75"/>
  <c r="J29" i="75"/>
  <c r="J28" i="75"/>
  <c r="J27" i="75"/>
  <c r="W27" i="75" s="1"/>
  <c r="J26" i="75"/>
  <c r="W26" i="75" s="1"/>
  <c r="J25" i="75"/>
  <c r="W25" i="75" s="1"/>
  <c r="J24" i="75"/>
  <c r="V24" i="75" s="1"/>
  <c r="J23" i="75"/>
  <c r="W23" i="75" s="1"/>
  <c r="J22" i="75"/>
  <c r="W22" i="75" s="1"/>
  <c r="J21" i="75"/>
  <c r="W21" i="75" s="1"/>
  <c r="J20" i="75"/>
  <c r="V20" i="75" s="1"/>
  <c r="J19" i="75"/>
  <c r="W19" i="75" s="1"/>
  <c r="J18" i="75"/>
  <c r="V18" i="75" s="1"/>
  <c r="J17" i="75"/>
  <c r="V17" i="75" s="1"/>
  <c r="J16" i="75"/>
  <c r="W16" i="75" s="1"/>
  <c r="W15" i="75"/>
  <c r="V15" i="75"/>
  <c r="J15" i="75"/>
  <c r="J14" i="75"/>
  <c r="V14" i="75" s="1"/>
  <c r="J13" i="75"/>
  <c r="W13" i="75" s="1"/>
  <c r="J12" i="75"/>
  <c r="V12" i="75" s="1"/>
  <c r="J9" i="75"/>
  <c r="V9" i="75" s="1"/>
  <c r="J8" i="75"/>
  <c r="W8" i="75" s="1"/>
  <c r="J7" i="75"/>
  <c r="V7" i="75" s="1"/>
  <c r="Q6" i="75"/>
  <c r="P6" i="75"/>
  <c r="O6" i="75"/>
  <c r="N4" i="75"/>
  <c r="N6" i="75" s="1"/>
  <c r="H18" i="74"/>
  <c r="H14" i="74"/>
  <c r="J14" i="74" s="1"/>
  <c r="W14" i="74" s="1"/>
  <c r="H13" i="74"/>
  <c r="H12" i="74"/>
  <c r="H11" i="74"/>
  <c r="J11" i="74" s="1"/>
  <c r="H9" i="74"/>
  <c r="J28" i="74"/>
  <c r="J27" i="74"/>
  <c r="W27" i="74" s="1"/>
  <c r="J26" i="74"/>
  <c r="W26" i="74" s="1"/>
  <c r="J25" i="74"/>
  <c r="J24" i="74"/>
  <c r="J23" i="74"/>
  <c r="W23" i="74" s="1"/>
  <c r="J22" i="74"/>
  <c r="W22" i="74" s="1"/>
  <c r="H7" i="74"/>
  <c r="J7" i="74" s="1"/>
  <c r="H6" i="74"/>
  <c r="J32" i="74"/>
  <c r="V32" i="74" s="1"/>
  <c r="J31" i="74"/>
  <c r="J30" i="74"/>
  <c r="J29" i="74"/>
  <c r="J21" i="74"/>
  <c r="V21" i="74" s="1"/>
  <c r="W20" i="74"/>
  <c r="J20" i="74"/>
  <c r="V20" i="74" s="1"/>
  <c r="J19" i="74"/>
  <c r="W19" i="74" s="1"/>
  <c r="J18" i="74"/>
  <c r="W18" i="74" s="1"/>
  <c r="J17" i="74"/>
  <c r="V17" i="74" s="1"/>
  <c r="J16" i="74"/>
  <c r="W16" i="74" s="1"/>
  <c r="J15" i="74"/>
  <c r="W15" i="74" s="1"/>
  <c r="J13" i="74"/>
  <c r="J12" i="74"/>
  <c r="V12" i="74" s="1"/>
  <c r="J10" i="74"/>
  <c r="W10" i="74" s="1"/>
  <c r="J9" i="74"/>
  <c r="W9" i="74" s="1"/>
  <c r="J8" i="74"/>
  <c r="Q6" i="74"/>
  <c r="P6" i="74"/>
  <c r="O6" i="74"/>
  <c r="J6" i="74"/>
  <c r="N4" i="74"/>
  <c r="R4" i="74" s="1"/>
  <c r="H13" i="73"/>
  <c r="J13" i="73" s="1"/>
  <c r="W13" i="73" s="1"/>
  <c r="H11" i="73"/>
  <c r="H9" i="73"/>
  <c r="H8" i="73"/>
  <c r="H7" i="73"/>
  <c r="H6" i="73"/>
  <c r="J6" i="73" s="1"/>
  <c r="W6" i="73" s="1"/>
  <c r="J32" i="73"/>
  <c r="W32" i="73" s="1"/>
  <c r="J31" i="73"/>
  <c r="J30" i="73"/>
  <c r="J29" i="73"/>
  <c r="J28" i="73"/>
  <c r="J27" i="73"/>
  <c r="W27" i="73" s="1"/>
  <c r="V26" i="73"/>
  <c r="J26" i="73"/>
  <c r="W26" i="73" s="1"/>
  <c r="J25" i="73"/>
  <c r="V25" i="73" s="1"/>
  <c r="J24" i="73"/>
  <c r="W24" i="73" s="1"/>
  <c r="J23" i="73"/>
  <c r="W23" i="73" s="1"/>
  <c r="J22" i="73"/>
  <c r="W22" i="73" s="1"/>
  <c r="J21" i="73"/>
  <c r="V21" i="73" s="1"/>
  <c r="J20" i="73"/>
  <c r="W20" i="73" s="1"/>
  <c r="J19" i="73"/>
  <c r="W19" i="73" s="1"/>
  <c r="J18" i="73"/>
  <c r="W18" i="73" s="1"/>
  <c r="J17" i="73"/>
  <c r="V17" i="73" s="1"/>
  <c r="J16" i="73"/>
  <c r="J15" i="73"/>
  <c r="J14" i="73"/>
  <c r="W14" i="73" s="1"/>
  <c r="J12" i="73"/>
  <c r="J11" i="73"/>
  <c r="J10" i="73"/>
  <c r="J9" i="73"/>
  <c r="J8" i="73"/>
  <c r="W8" i="73" s="1"/>
  <c r="J7" i="73"/>
  <c r="P6" i="73"/>
  <c r="O6" i="73"/>
  <c r="N4" i="73"/>
  <c r="R4" i="73" s="1"/>
  <c r="H16" i="72"/>
  <c r="H15" i="72"/>
  <c r="H9" i="72"/>
  <c r="H11" i="72"/>
  <c r="H12" i="72"/>
  <c r="V33" i="79" l="1"/>
  <c r="O4" i="79" s="1"/>
  <c r="W33" i="79"/>
  <c r="P4" i="79" s="1"/>
  <c r="P6" i="79" s="1"/>
  <c r="W21" i="73"/>
  <c r="V27" i="75"/>
  <c r="V14" i="76"/>
  <c r="V18" i="76"/>
  <c r="V26" i="76"/>
  <c r="V20" i="73"/>
  <c r="V24" i="73"/>
  <c r="V32" i="73"/>
  <c r="W20" i="75"/>
  <c r="V23" i="75"/>
  <c r="V17" i="76"/>
  <c r="V21" i="76"/>
  <c r="W22" i="76"/>
  <c r="V25" i="76"/>
  <c r="V19" i="77"/>
  <c r="V23" i="77"/>
  <c r="V27" i="77"/>
  <c r="W25" i="73"/>
  <c r="W24" i="75"/>
  <c r="N6" i="77"/>
  <c r="V22" i="73"/>
  <c r="W17" i="77"/>
  <c r="W21" i="77"/>
  <c r="W25" i="77"/>
  <c r="V33" i="78"/>
  <c r="O4" i="78" s="1"/>
  <c r="R4" i="78" s="1"/>
  <c r="W33" i="78"/>
  <c r="P4" i="78" s="1"/>
  <c r="P6" i="78" s="1"/>
  <c r="V15" i="77"/>
  <c r="V7" i="77"/>
  <c r="V9" i="77"/>
  <c r="V11" i="77"/>
  <c r="W13" i="77"/>
  <c r="J33" i="77"/>
  <c r="V6" i="77"/>
  <c r="V10" i="77"/>
  <c r="V8" i="77"/>
  <c r="W8" i="77"/>
  <c r="V12" i="77"/>
  <c r="W12" i="77"/>
  <c r="W6" i="77"/>
  <c r="V14" i="77"/>
  <c r="V18" i="77"/>
  <c r="V22" i="77"/>
  <c r="V26" i="77"/>
  <c r="W11" i="76"/>
  <c r="W7" i="76"/>
  <c r="V10" i="76"/>
  <c r="R4" i="76"/>
  <c r="V9" i="76"/>
  <c r="V13" i="76"/>
  <c r="V8" i="76"/>
  <c r="V12" i="76"/>
  <c r="R6" i="76"/>
  <c r="P8" i="76" s="1"/>
  <c r="J33" i="76"/>
  <c r="W6" i="76"/>
  <c r="V6" i="76"/>
  <c r="V16" i="76"/>
  <c r="V20" i="76"/>
  <c r="V24" i="76"/>
  <c r="V32" i="76"/>
  <c r="V15" i="76"/>
  <c r="V19" i="76"/>
  <c r="V23" i="76"/>
  <c r="V27" i="76"/>
  <c r="R6" i="75"/>
  <c r="P8" i="75" s="1"/>
  <c r="W12" i="75"/>
  <c r="W11" i="75"/>
  <c r="V11" i="75"/>
  <c r="V10" i="75"/>
  <c r="V8" i="75"/>
  <c r="V13" i="75"/>
  <c r="W14" i="75"/>
  <c r="V19" i="75"/>
  <c r="V6" i="75"/>
  <c r="R4" i="75"/>
  <c r="V22" i="75"/>
  <c r="V26" i="75"/>
  <c r="J33" i="75"/>
  <c r="W7" i="75"/>
  <c r="W9" i="75"/>
  <c r="V16" i="75"/>
  <c r="W17" i="75"/>
  <c r="W18" i="75"/>
  <c r="V21" i="75"/>
  <c r="V25" i="75"/>
  <c r="W32" i="74"/>
  <c r="W17" i="74"/>
  <c r="V19" i="74"/>
  <c r="V16" i="74"/>
  <c r="W25" i="74"/>
  <c r="V25" i="74"/>
  <c r="V24" i="74"/>
  <c r="W24" i="74"/>
  <c r="V10" i="74"/>
  <c r="V23" i="74"/>
  <c r="V27" i="74"/>
  <c r="W21" i="74"/>
  <c r="V15" i="74"/>
  <c r="W12" i="74"/>
  <c r="V9" i="74"/>
  <c r="W13" i="74"/>
  <c r="V13" i="74"/>
  <c r="V6" i="74"/>
  <c r="J33" i="74"/>
  <c r="W6" i="74"/>
  <c r="V7" i="74"/>
  <c r="W7" i="74"/>
  <c r="V11" i="74"/>
  <c r="W11" i="74"/>
  <c r="W8" i="74"/>
  <c r="V8" i="74"/>
  <c r="V14" i="74"/>
  <c r="V18" i="74"/>
  <c r="V22" i="74"/>
  <c r="V26" i="74"/>
  <c r="N6" i="74"/>
  <c r="R6" i="74" s="1"/>
  <c r="P8" i="74" s="1"/>
  <c r="V14" i="73"/>
  <c r="W17" i="73"/>
  <c r="Q6" i="73"/>
  <c r="V18" i="73"/>
  <c r="W7" i="73"/>
  <c r="V7" i="73"/>
  <c r="W11" i="73"/>
  <c r="V11" i="73"/>
  <c r="R6" i="73"/>
  <c r="P8" i="73" s="1"/>
  <c r="W12" i="73"/>
  <c r="V12" i="73"/>
  <c r="W9" i="73"/>
  <c r="V9" i="73"/>
  <c r="W15" i="73"/>
  <c r="V15" i="73"/>
  <c r="W10" i="73"/>
  <c r="V10" i="73"/>
  <c r="V16" i="73"/>
  <c r="W16" i="73"/>
  <c r="N6" i="73"/>
  <c r="V13" i="73"/>
  <c r="V19" i="73"/>
  <c r="V23" i="73"/>
  <c r="V27" i="73"/>
  <c r="V6" i="73"/>
  <c r="V8" i="73"/>
  <c r="J33" i="73"/>
  <c r="H10" i="72"/>
  <c r="J10" i="72" s="1"/>
  <c r="W10" i="72" s="1"/>
  <c r="H7" i="72"/>
  <c r="J7" i="72" s="1"/>
  <c r="V7" i="72" s="1"/>
  <c r="W32" i="72"/>
  <c r="J32" i="72"/>
  <c r="V32" i="72" s="1"/>
  <c r="J31" i="72"/>
  <c r="J30" i="72"/>
  <c r="J29" i="72"/>
  <c r="J28" i="72"/>
  <c r="J27" i="72"/>
  <c r="W27" i="72" s="1"/>
  <c r="J26" i="72"/>
  <c r="W26" i="72" s="1"/>
  <c r="J25" i="72"/>
  <c r="V25" i="72" s="1"/>
  <c r="W24" i="72"/>
  <c r="J24" i="72"/>
  <c r="V24" i="72" s="1"/>
  <c r="J23" i="72"/>
  <c r="W23" i="72" s="1"/>
  <c r="J22" i="72"/>
  <c r="W22" i="72" s="1"/>
  <c r="J21" i="72"/>
  <c r="V21" i="72" s="1"/>
  <c r="J20" i="72"/>
  <c r="J19" i="72"/>
  <c r="W19" i="72" s="1"/>
  <c r="J18" i="72"/>
  <c r="V18" i="72" s="1"/>
  <c r="J17" i="72"/>
  <c r="V17" i="72" s="1"/>
  <c r="J16" i="72"/>
  <c r="W16" i="72" s="1"/>
  <c r="J15" i="72"/>
  <c r="V15" i="72" s="1"/>
  <c r="J14" i="72"/>
  <c r="W14" i="72" s="1"/>
  <c r="J13" i="72"/>
  <c r="V13" i="72" s="1"/>
  <c r="J12" i="72"/>
  <c r="W12" i="72" s="1"/>
  <c r="J11" i="72"/>
  <c r="V11" i="72" s="1"/>
  <c r="J9" i="72"/>
  <c r="V9" i="72" s="1"/>
  <c r="J8" i="72"/>
  <c r="W8" i="72" s="1"/>
  <c r="J6" i="72"/>
  <c r="N4" i="72"/>
  <c r="H20" i="71"/>
  <c r="H15" i="71"/>
  <c r="J15" i="71" s="1"/>
  <c r="H14" i="71"/>
  <c r="J14" i="71" s="1"/>
  <c r="W14" i="71" s="1"/>
  <c r="H13" i="71"/>
  <c r="J13" i="71" s="1"/>
  <c r="W13" i="71" s="1"/>
  <c r="H7" i="71"/>
  <c r="J7" i="71" s="1"/>
  <c r="W7" i="71" s="1"/>
  <c r="H18" i="71"/>
  <c r="J18" i="71" s="1"/>
  <c r="W18" i="71" s="1"/>
  <c r="H17" i="71"/>
  <c r="J17" i="71" s="1"/>
  <c r="W17" i="71" s="1"/>
  <c r="H16" i="71"/>
  <c r="J16" i="71" s="1"/>
  <c r="V16" i="71" s="1"/>
  <c r="H12" i="71"/>
  <c r="H11" i="71"/>
  <c r="J11" i="71" s="1"/>
  <c r="H10" i="71"/>
  <c r="J10" i="71" s="1"/>
  <c r="H8" i="71"/>
  <c r="J8" i="71" s="1"/>
  <c r="W8" i="71" s="1"/>
  <c r="H6" i="71"/>
  <c r="J32" i="71"/>
  <c r="V32" i="71" s="1"/>
  <c r="J31" i="71"/>
  <c r="J30" i="71"/>
  <c r="J29" i="71"/>
  <c r="J28" i="71"/>
  <c r="J27" i="71"/>
  <c r="V27" i="71" s="1"/>
  <c r="J26" i="71"/>
  <c r="W26" i="71" s="1"/>
  <c r="J25" i="71"/>
  <c r="W25" i="71" s="1"/>
  <c r="J24" i="71"/>
  <c r="V24" i="71" s="1"/>
  <c r="J23" i="71"/>
  <c r="V23" i="71" s="1"/>
  <c r="J22" i="71"/>
  <c r="W22" i="71" s="1"/>
  <c r="J21" i="71"/>
  <c r="W21" i="71" s="1"/>
  <c r="J20" i="71"/>
  <c r="V20" i="71" s="1"/>
  <c r="J19" i="71"/>
  <c r="W19" i="71" s="1"/>
  <c r="J12" i="71"/>
  <c r="W12" i="71" s="1"/>
  <c r="J9" i="71"/>
  <c r="J6" i="71"/>
  <c r="N4" i="71"/>
  <c r="N6" i="71" s="1"/>
  <c r="H15" i="70"/>
  <c r="H13" i="70"/>
  <c r="H11" i="70"/>
  <c r="J11" i="70" s="1"/>
  <c r="H10" i="70"/>
  <c r="J10" i="70" s="1"/>
  <c r="H9" i="70"/>
  <c r="J9" i="70" s="1"/>
  <c r="H8" i="70"/>
  <c r="H7" i="70"/>
  <c r="J7" i="70" s="1"/>
  <c r="H6" i="70"/>
  <c r="J6" i="70" s="1"/>
  <c r="J32" i="70"/>
  <c r="W32" i="70" s="1"/>
  <c r="J31" i="70"/>
  <c r="J30" i="70"/>
  <c r="J29" i="70"/>
  <c r="J28" i="70"/>
  <c r="J27" i="70"/>
  <c r="W27" i="70" s="1"/>
  <c r="W26" i="70"/>
  <c r="V26" i="70"/>
  <c r="J26" i="70"/>
  <c r="J25" i="70"/>
  <c r="W25" i="70" s="1"/>
  <c r="J24" i="70"/>
  <c r="W24" i="70" s="1"/>
  <c r="W23" i="70"/>
  <c r="J23" i="70"/>
  <c r="V23" i="70" s="1"/>
  <c r="J22" i="70"/>
  <c r="W22" i="70" s="1"/>
  <c r="J21" i="70"/>
  <c r="W21" i="70" s="1"/>
  <c r="J20" i="70"/>
  <c r="W20" i="70" s="1"/>
  <c r="J19" i="70"/>
  <c r="V19" i="70" s="1"/>
  <c r="J18" i="70"/>
  <c r="W18" i="70" s="1"/>
  <c r="J17" i="70"/>
  <c r="V17" i="70" s="1"/>
  <c r="J16" i="70"/>
  <c r="W16" i="70" s="1"/>
  <c r="J15" i="70"/>
  <c r="J14" i="70"/>
  <c r="V14" i="70" s="1"/>
  <c r="J13" i="70"/>
  <c r="J12" i="70"/>
  <c r="J8" i="70"/>
  <c r="N4" i="70"/>
  <c r="N6" i="70" s="1"/>
  <c r="H7" i="69"/>
  <c r="J7" i="69" s="1"/>
  <c r="H13" i="69"/>
  <c r="H15" i="69"/>
  <c r="H11" i="69"/>
  <c r="J11" i="69" s="1"/>
  <c r="W11" i="69" s="1"/>
  <c r="H12" i="69"/>
  <c r="J12" i="69" s="1"/>
  <c r="H10" i="69"/>
  <c r="H9" i="69"/>
  <c r="H8" i="69"/>
  <c r="J8" i="69" s="1"/>
  <c r="H6" i="69"/>
  <c r="J6" i="69" s="1"/>
  <c r="J32" i="69"/>
  <c r="W32" i="69" s="1"/>
  <c r="J31" i="69"/>
  <c r="J30" i="69"/>
  <c r="J29" i="69"/>
  <c r="J28" i="69"/>
  <c r="J27" i="69"/>
  <c r="W27" i="69" s="1"/>
  <c r="J26" i="69"/>
  <c r="W26" i="69" s="1"/>
  <c r="V25" i="69"/>
  <c r="J25" i="69"/>
  <c r="W25" i="69" s="1"/>
  <c r="J24" i="69"/>
  <c r="V24" i="69" s="1"/>
  <c r="J23" i="69"/>
  <c r="W23" i="69" s="1"/>
  <c r="J22" i="69"/>
  <c r="W22" i="69" s="1"/>
  <c r="J21" i="69"/>
  <c r="W21" i="69" s="1"/>
  <c r="J20" i="69"/>
  <c r="V20" i="69" s="1"/>
  <c r="J19" i="69"/>
  <c r="W19" i="69" s="1"/>
  <c r="J18" i="69"/>
  <c r="W18" i="69" s="1"/>
  <c r="J17" i="69"/>
  <c r="W17" i="69" s="1"/>
  <c r="J16" i="69"/>
  <c r="V16" i="69" s="1"/>
  <c r="J15" i="69"/>
  <c r="W15" i="69" s="1"/>
  <c r="J14" i="69"/>
  <c r="W14" i="69" s="1"/>
  <c r="J13" i="69"/>
  <c r="V13" i="69" s="1"/>
  <c r="J10" i="69"/>
  <c r="W10" i="69" s="1"/>
  <c r="J9" i="69"/>
  <c r="W9" i="69" s="1"/>
  <c r="N4" i="69"/>
  <c r="N6" i="69" s="1"/>
  <c r="H11" i="68"/>
  <c r="H10" i="68"/>
  <c r="J10" i="68" s="1"/>
  <c r="W10" i="68" s="1"/>
  <c r="H9" i="68"/>
  <c r="J9" i="68" s="1"/>
  <c r="W9" i="68" s="1"/>
  <c r="H8" i="68"/>
  <c r="J8" i="68" s="1"/>
  <c r="W8" i="68" s="1"/>
  <c r="H7" i="68"/>
  <c r="H6" i="68"/>
  <c r="J6" i="68" s="1"/>
  <c r="J32" i="68"/>
  <c r="W32" i="68" s="1"/>
  <c r="J31" i="68"/>
  <c r="J30" i="68"/>
  <c r="J29" i="68"/>
  <c r="J28" i="68"/>
  <c r="J27" i="68"/>
  <c r="W27" i="68" s="1"/>
  <c r="J26" i="68"/>
  <c r="W26" i="68" s="1"/>
  <c r="J25" i="68"/>
  <c r="V25" i="68" s="1"/>
  <c r="J24" i="68"/>
  <c r="W24" i="68" s="1"/>
  <c r="J23" i="68"/>
  <c r="W23" i="68" s="1"/>
  <c r="J22" i="68"/>
  <c r="W22" i="68" s="1"/>
  <c r="J21" i="68"/>
  <c r="V21" i="68" s="1"/>
  <c r="W20" i="68"/>
  <c r="V20" i="68"/>
  <c r="J20" i="68"/>
  <c r="J19" i="68"/>
  <c r="W19" i="68" s="1"/>
  <c r="J18" i="68"/>
  <c r="W18" i="68" s="1"/>
  <c r="W17" i="68"/>
  <c r="J17" i="68"/>
  <c r="V17" i="68" s="1"/>
  <c r="J16" i="68"/>
  <c r="W15" i="68"/>
  <c r="J15" i="68"/>
  <c r="V15" i="68" s="1"/>
  <c r="J14" i="68"/>
  <c r="W14" i="68" s="1"/>
  <c r="J13" i="68"/>
  <c r="W13" i="68" s="1"/>
  <c r="J12" i="68"/>
  <c r="V12" i="68" s="1"/>
  <c r="J11" i="68"/>
  <c r="V11" i="68" s="1"/>
  <c r="J7" i="68"/>
  <c r="W7" i="68" s="1"/>
  <c r="N4" i="68"/>
  <c r="N6" i="68" s="1"/>
  <c r="H16" i="67"/>
  <c r="H10" i="67"/>
  <c r="H13" i="66"/>
  <c r="O6" i="79" l="1"/>
  <c r="R6" i="79" s="1"/>
  <c r="P8" i="79" s="1"/>
  <c r="R4" i="79"/>
  <c r="Q4" i="79"/>
  <c r="Q6" i="79" s="1"/>
  <c r="W25" i="68"/>
  <c r="V32" i="68"/>
  <c r="W19" i="70"/>
  <c r="V22" i="70"/>
  <c r="V27" i="72"/>
  <c r="W33" i="73"/>
  <c r="W21" i="68"/>
  <c r="V24" i="68"/>
  <c r="V18" i="70"/>
  <c r="W25" i="72"/>
  <c r="W21" i="72"/>
  <c r="W33" i="76"/>
  <c r="O6" i="78"/>
  <c r="R6" i="78" s="1"/>
  <c r="P8" i="78" s="1"/>
  <c r="Q4" i="78"/>
  <c r="Q6" i="78" s="1"/>
  <c r="W33" i="77"/>
  <c r="P4" i="77" s="1"/>
  <c r="P6" i="77" s="1"/>
  <c r="V33" i="77"/>
  <c r="O4" i="77" s="1"/>
  <c r="V33" i="76"/>
  <c r="W33" i="75"/>
  <c r="V33" i="75"/>
  <c r="V33" i="74"/>
  <c r="W33" i="74"/>
  <c r="V33" i="73"/>
  <c r="V19" i="72"/>
  <c r="J33" i="72"/>
  <c r="W6" i="72"/>
  <c r="V6" i="72"/>
  <c r="V20" i="72"/>
  <c r="W20" i="72"/>
  <c r="N6" i="72"/>
  <c r="V10" i="72"/>
  <c r="V12" i="72"/>
  <c r="V14" i="72"/>
  <c r="V16" i="72"/>
  <c r="V23" i="72"/>
  <c r="W7" i="72"/>
  <c r="V8" i="72"/>
  <c r="W9" i="72"/>
  <c r="W11" i="72"/>
  <c r="W13" i="72"/>
  <c r="W15" i="72"/>
  <c r="W17" i="72"/>
  <c r="W18" i="72"/>
  <c r="V22" i="72"/>
  <c r="V26" i="72"/>
  <c r="W27" i="71"/>
  <c r="W20" i="71"/>
  <c r="W23" i="71"/>
  <c r="V19" i="71"/>
  <c r="W32" i="71"/>
  <c r="W24" i="71"/>
  <c r="V14" i="71"/>
  <c r="W16" i="71"/>
  <c r="W10" i="71"/>
  <c r="V10" i="71"/>
  <c r="W6" i="71"/>
  <c r="J33" i="71"/>
  <c r="V6" i="71"/>
  <c r="W15" i="71"/>
  <c r="V15" i="71"/>
  <c r="W11" i="71"/>
  <c r="V11" i="71"/>
  <c r="W9" i="71"/>
  <c r="V9" i="71"/>
  <c r="V7" i="71"/>
  <c r="V12" i="71"/>
  <c r="V13" i="71"/>
  <c r="V18" i="71"/>
  <c r="V22" i="71"/>
  <c r="V26" i="71"/>
  <c r="V8" i="71"/>
  <c r="V17" i="71"/>
  <c r="V21" i="71"/>
  <c r="V25" i="71"/>
  <c r="V32" i="70"/>
  <c r="W14" i="70"/>
  <c r="W7" i="70"/>
  <c r="V7" i="70"/>
  <c r="V12" i="70"/>
  <c r="W12" i="70"/>
  <c r="V9" i="70"/>
  <c r="W9" i="70"/>
  <c r="W11" i="70"/>
  <c r="V11" i="70"/>
  <c r="W8" i="70"/>
  <c r="V8" i="70"/>
  <c r="W15" i="70"/>
  <c r="V15" i="70"/>
  <c r="W6" i="70"/>
  <c r="J33" i="70"/>
  <c r="V6" i="70"/>
  <c r="W13" i="70"/>
  <c r="V13" i="70"/>
  <c r="V10" i="70"/>
  <c r="W10" i="70"/>
  <c r="V21" i="70"/>
  <c r="V25" i="70"/>
  <c r="V16" i="70"/>
  <c r="W17" i="70"/>
  <c r="V20" i="70"/>
  <c r="V24" i="70"/>
  <c r="V27" i="70"/>
  <c r="W16" i="69"/>
  <c r="W20" i="69"/>
  <c r="V21" i="69"/>
  <c r="W24" i="69"/>
  <c r="V17" i="69"/>
  <c r="V32" i="69"/>
  <c r="W12" i="69"/>
  <c r="V12" i="69"/>
  <c r="W13" i="69"/>
  <c r="W8" i="69"/>
  <c r="V8" i="69"/>
  <c r="J33" i="69"/>
  <c r="V6" i="69"/>
  <c r="W6" i="69"/>
  <c r="W7" i="69"/>
  <c r="V7" i="69"/>
  <c r="V9" i="69"/>
  <c r="V10" i="69"/>
  <c r="V11" i="69"/>
  <c r="V15" i="69"/>
  <c r="V19" i="69"/>
  <c r="V23" i="69"/>
  <c r="V27" i="69"/>
  <c r="V14" i="69"/>
  <c r="V18" i="69"/>
  <c r="V22" i="69"/>
  <c r="V26" i="69"/>
  <c r="W11" i="68"/>
  <c r="W12" i="68"/>
  <c r="V6" i="68"/>
  <c r="J33" i="68"/>
  <c r="W6" i="68"/>
  <c r="W16" i="68"/>
  <c r="V16" i="68"/>
  <c r="V9" i="68"/>
  <c r="V10" i="68"/>
  <c r="V14" i="68"/>
  <c r="V19" i="68"/>
  <c r="V23" i="68"/>
  <c r="V27" i="68"/>
  <c r="V7" i="68"/>
  <c r="V8" i="68"/>
  <c r="V13" i="68"/>
  <c r="V18" i="68"/>
  <c r="V22" i="68"/>
  <c r="V26" i="68"/>
  <c r="H6" i="67"/>
  <c r="J6" i="67" s="1"/>
  <c r="W6" i="67" s="1"/>
  <c r="J32" i="67"/>
  <c r="V32" i="67" s="1"/>
  <c r="J31" i="67"/>
  <c r="J30" i="67"/>
  <c r="J29" i="67"/>
  <c r="J28" i="67"/>
  <c r="J27" i="67"/>
  <c r="W27" i="67" s="1"/>
  <c r="J26" i="67"/>
  <c r="W26" i="67" s="1"/>
  <c r="J25" i="67"/>
  <c r="W25" i="67" s="1"/>
  <c r="J24" i="67"/>
  <c r="V24" i="67" s="1"/>
  <c r="J23" i="67"/>
  <c r="W23" i="67" s="1"/>
  <c r="J22" i="67"/>
  <c r="W22" i="67" s="1"/>
  <c r="J21" i="67"/>
  <c r="W21" i="67" s="1"/>
  <c r="J20" i="67"/>
  <c r="V20" i="67" s="1"/>
  <c r="J19" i="67"/>
  <c r="W19" i="67" s="1"/>
  <c r="J18" i="67"/>
  <c r="W18" i="67" s="1"/>
  <c r="J17" i="67"/>
  <c r="W17" i="67" s="1"/>
  <c r="J16" i="67"/>
  <c r="V16" i="67" s="1"/>
  <c r="J15" i="67"/>
  <c r="J14" i="67"/>
  <c r="J13" i="67"/>
  <c r="W13" i="67" s="1"/>
  <c r="J12" i="67"/>
  <c r="W12" i="67" s="1"/>
  <c r="J11" i="67"/>
  <c r="W11" i="67" s="1"/>
  <c r="J10" i="67"/>
  <c r="W10" i="67" s="1"/>
  <c r="J9" i="67"/>
  <c r="W9" i="67" s="1"/>
  <c r="J8" i="67"/>
  <c r="W8" i="67" s="1"/>
  <c r="J7" i="67"/>
  <c r="W7" i="67" s="1"/>
  <c r="N4" i="67"/>
  <c r="N6" i="67" s="1"/>
  <c r="O6" i="77" l="1"/>
  <c r="R6" i="77" s="1"/>
  <c r="P8" i="77" s="1"/>
  <c r="Q4" i="77"/>
  <c r="Q6" i="77" s="1"/>
  <c r="R4" i="77"/>
  <c r="W33" i="72"/>
  <c r="P6" i="72" s="1"/>
  <c r="V33" i="72"/>
  <c r="W33" i="71"/>
  <c r="P4" i="71" s="1"/>
  <c r="P6" i="71" s="1"/>
  <c r="V33" i="71"/>
  <c r="O4" i="71" s="1"/>
  <c r="V33" i="70"/>
  <c r="O4" i="70" s="1"/>
  <c r="W33" i="70"/>
  <c r="P4" i="70" s="1"/>
  <c r="P6" i="70" s="1"/>
  <c r="W33" i="69"/>
  <c r="P4" i="69" s="1"/>
  <c r="P6" i="69" s="1"/>
  <c r="V33" i="69"/>
  <c r="O4" i="69" s="1"/>
  <c r="W33" i="68"/>
  <c r="P4" i="68" s="1"/>
  <c r="P6" i="68" s="1"/>
  <c r="V33" i="68"/>
  <c r="O4" i="68" s="1"/>
  <c r="W20" i="67"/>
  <c r="V23" i="67"/>
  <c r="V19" i="67"/>
  <c r="W24" i="67"/>
  <c r="V27" i="67"/>
  <c r="W32" i="67"/>
  <c r="W16" i="67"/>
  <c r="V13" i="67"/>
  <c r="V7" i="67"/>
  <c r="W14" i="67"/>
  <c r="V14" i="67"/>
  <c r="V15" i="67"/>
  <c r="W15" i="67"/>
  <c r="V6" i="67"/>
  <c r="V8" i="67"/>
  <c r="V9" i="67"/>
  <c r="V10" i="67"/>
  <c r="V11" i="67"/>
  <c r="V12" i="67"/>
  <c r="V18" i="67"/>
  <c r="V22" i="67"/>
  <c r="V26" i="67"/>
  <c r="J33" i="67"/>
  <c r="V17" i="67"/>
  <c r="V21" i="67"/>
  <c r="V25" i="67"/>
  <c r="H15" i="66"/>
  <c r="H14" i="66"/>
  <c r="H12" i="66"/>
  <c r="O6" i="72" l="1"/>
  <c r="R6" i="72" s="1"/>
  <c r="P8" i="72" s="1"/>
  <c r="R4" i="72"/>
  <c r="Q4" i="72"/>
  <c r="Q6" i="72" s="1"/>
  <c r="O6" i="71"/>
  <c r="R6" i="71" s="1"/>
  <c r="P8" i="71" s="1"/>
  <c r="R4" i="71"/>
  <c r="Q4" i="71"/>
  <c r="Q6" i="71" s="1"/>
  <c r="O6" i="70"/>
  <c r="R6" i="70" s="1"/>
  <c r="P8" i="70" s="1"/>
  <c r="R4" i="70"/>
  <c r="Q4" i="70"/>
  <c r="Q6" i="70" s="1"/>
  <c r="R4" i="69"/>
  <c r="O6" i="69"/>
  <c r="R6" i="69" s="1"/>
  <c r="P8" i="69" s="1"/>
  <c r="Q4" i="69"/>
  <c r="Q6" i="69" s="1"/>
  <c r="O6" i="68"/>
  <c r="R6" i="68" s="1"/>
  <c r="P8" i="68" s="1"/>
  <c r="R4" i="68"/>
  <c r="Q4" i="68"/>
  <c r="Q6" i="68" s="1"/>
  <c r="W33" i="67"/>
  <c r="P4" i="67" s="1"/>
  <c r="P6" i="67" s="1"/>
  <c r="V33" i="67"/>
  <c r="O4" i="67" s="1"/>
  <c r="H9" i="66"/>
  <c r="H11" i="66"/>
  <c r="J11" i="66" s="1"/>
  <c r="W11" i="66" s="1"/>
  <c r="H10" i="66"/>
  <c r="J10" i="66" s="1"/>
  <c r="W10" i="66" s="1"/>
  <c r="H8" i="66"/>
  <c r="H6" i="66"/>
  <c r="J32" i="66"/>
  <c r="W32" i="66" s="1"/>
  <c r="J31" i="66"/>
  <c r="J30" i="66"/>
  <c r="J29" i="66"/>
  <c r="J28" i="66"/>
  <c r="J27" i="66"/>
  <c r="W27" i="66" s="1"/>
  <c r="W26" i="66"/>
  <c r="J26" i="66"/>
  <c r="V26" i="66" s="1"/>
  <c r="W25" i="66"/>
  <c r="V25" i="66"/>
  <c r="J25" i="66"/>
  <c r="J24" i="66"/>
  <c r="W24" i="66" s="1"/>
  <c r="J23" i="66"/>
  <c r="W23" i="66" s="1"/>
  <c r="W22" i="66"/>
  <c r="J22" i="66"/>
  <c r="V22" i="66" s="1"/>
  <c r="J21" i="66"/>
  <c r="V21" i="66" s="1"/>
  <c r="J20" i="66"/>
  <c r="W20" i="66" s="1"/>
  <c r="J19" i="66"/>
  <c r="W19" i="66" s="1"/>
  <c r="J18" i="66"/>
  <c r="V18" i="66" s="1"/>
  <c r="J17" i="66"/>
  <c r="W17" i="66" s="1"/>
  <c r="J16" i="66"/>
  <c r="W16" i="66" s="1"/>
  <c r="J15" i="66"/>
  <c r="W15" i="66" s="1"/>
  <c r="J14" i="66"/>
  <c r="J13" i="66"/>
  <c r="V13" i="66" s="1"/>
  <c r="J12" i="66"/>
  <c r="W12" i="66" s="1"/>
  <c r="J9" i="66"/>
  <c r="W9" i="66" s="1"/>
  <c r="J8" i="66"/>
  <c r="J7" i="66"/>
  <c r="W7" i="66" s="1"/>
  <c r="J6" i="66"/>
  <c r="N4" i="66"/>
  <c r="N6" i="66" s="1"/>
  <c r="W18" i="66" l="1"/>
  <c r="V17" i="66"/>
  <c r="W21" i="66"/>
  <c r="Q4" i="67"/>
  <c r="Q6" i="67" s="1"/>
  <c r="O6" i="67"/>
  <c r="R6" i="67" s="1"/>
  <c r="P8" i="67" s="1"/>
  <c r="R4" i="67"/>
  <c r="W13" i="66"/>
  <c r="V12" i="66"/>
  <c r="V11" i="66"/>
  <c r="W14" i="66"/>
  <c r="V14" i="66"/>
  <c r="J33" i="66"/>
  <c r="V6" i="66"/>
  <c r="W6" i="66"/>
  <c r="W8" i="66"/>
  <c r="V8" i="66"/>
  <c r="V10" i="66"/>
  <c r="V16" i="66"/>
  <c r="V20" i="66"/>
  <c r="V24" i="66"/>
  <c r="V32" i="66"/>
  <c r="V7" i="66"/>
  <c r="V9" i="66"/>
  <c r="V15" i="66"/>
  <c r="V19" i="66"/>
  <c r="V23" i="66"/>
  <c r="V27" i="66"/>
  <c r="H14" i="65"/>
  <c r="H12" i="65"/>
  <c r="V33" i="66" l="1"/>
  <c r="O4" i="66" s="1"/>
  <c r="R4" i="66" s="1"/>
  <c r="W33" i="66"/>
  <c r="P4" i="66" s="1"/>
  <c r="P6" i="66" s="1"/>
  <c r="H8" i="65"/>
  <c r="O6" i="66" l="1"/>
  <c r="R6" i="66" s="1"/>
  <c r="P8" i="66" s="1"/>
  <c r="Q4" i="66"/>
  <c r="Q6" i="66" s="1"/>
  <c r="H6" i="65"/>
  <c r="J6" i="65" s="1"/>
  <c r="V6" i="65" s="1"/>
  <c r="W32" i="65"/>
  <c r="J32" i="65"/>
  <c r="V32" i="65" s="1"/>
  <c r="J31" i="65"/>
  <c r="J30" i="65"/>
  <c r="J29" i="65"/>
  <c r="J28" i="65"/>
  <c r="J27" i="65"/>
  <c r="W27" i="65" s="1"/>
  <c r="J26" i="65"/>
  <c r="W26" i="65" s="1"/>
  <c r="J25" i="65"/>
  <c r="W25" i="65" s="1"/>
  <c r="J24" i="65"/>
  <c r="V24" i="65" s="1"/>
  <c r="J23" i="65"/>
  <c r="W23" i="65" s="1"/>
  <c r="J22" i="65"/>
  <c r="W22" i="65" s="1"/>
  <c r="V21" i="65"/>
  <c r="J21" i="65"/>
  <c r="W21" i="65" s="1"/>
  <c r="J20" i="65"/>
  <c r="V20" i="65" s="1"/>
  <c r="J19" i="65"/>
  <c r="W19" i="65" s="1"/>
  <c r="J18" i="65"/>
  <c r="W18" i="65" s="1"/>
  <c r="J17" i="65"/>
  <c r="W17" i="65" s="1"/>
  <c r="J16" i="65"/>
  <c r="V16" i="65" s="1"/>
  <c r="J15" i="65"/>
  <c r="W15" i="65" s="1"/>
  <c r="J14" i="65"/>
  <c r="W14" i="65" s="1"/>
  <c r="J13" i="65"/>
  <c r="W13" i="65" s="1"/>
  <c r="J12" i="65"/>
  <c r="V12" i="65" s="1"/>
  <c r="J11" i="65"/>
  <c r="J10" i="65"/>
  <c r="W10" i="65" s="1"/>
  <c r="J9" i="65"/>
  <c r="W9" i="65" s="1"/>
  <c r="J8" i="65"/>
  <c r="J7" i="65"/>
  <c r="N4" i="65"/>
  <c r="N6" i="65" s="1"/>
  <c r="V19" i="65" l="1"/>
  <c r="V15" i="65"/>
  <c r="V17" i="65"/>
  <c r="W24" i="65"/>
  <c r="V27" i="65"/>
  <c r="W20" i="65"/>
  <c r="W16" i="65"/>
  <c r="V23" i="65"/>
  <c r="V25" i="65"/>
  <c r="W12" i="65"/>
  <c r="V13" i="65"/>
  <c r="V10" i="65"/>
  <c r="J33" i="65"/>
  <c r="W11" i="65"/>
  <c r="V11" i="65"/>
  <c r="W8" i="65"/>
  <c r="V8" i="65"/>
  <c r="V7" i="65"/>
  <c r="W7" i="65"/>
  <c r="W6" i="65"/>
  <c r="V9" i="65"/>
  <c r="V14" i="65"/>
  <c r="V18" i="65"/>
  <c r="V22" i="65"/>
  <c r="V26" i="65"/>
  <c r="H11" i="64"/>
  <c r="V33" i="65" l="1"/>
  <c r="O4" i="65" s="1"/>
  <c r="R4" i="65" s="1"/>
  <c r="W33" i="65"/>
  <c r="P4" i="65" s="1"/>
  <c r="P6" i="65" s="1"/>
  <c r="H7" i="64"/>
  <c r="J7" i="64" s="1"/>
  <c r="W7" i="64" s="1"/>
  <c r="H9" i="64"/>
  <c r="J9" i="64" s="1"/>
  <c r="H8" i="64"/>
  <c r="J8" i="64" s="1"/>
  <c r="W8" i="64" s="1"/>
  <c r="H6" i="64"/>
  <c r="J32" i="64"/>
  <c r="W32" i="64" s="1"/>
  <c r="J31" i="64"/>
  <c r="J30" i="64"/>
  <c r="J29" i="64"/>
  <c r="J28" i="64"/>
  <c r="J27" i="64"/>
  <c r="V27" i="64" s="1"/>
  <c r="J26" i="64"/>
  <c r="V26" i="64" s="1"/>
  <c r="J25" i="64"/>
  <c r="W25" i="64" s="1"/>
  <c r="J24" i="64"/>
  <c r="W24" i="64" s="1"/>
  <c r="J23" i="64"/>
  <c r="V23" i="64" s="1"/>
  <c r="W22" i="64"/>
  <c r="V22" i="64"/>
  <c r="J22" i="64"/>
  <c r="J21" i="64"/>
  <c r="W21" i="64" s="1"/>
  <c r="J20" i="64"/>
  <c r="W20" i="64" s="1"/>
  <c r="W19" i="64"/>
  <c r="J19" i="64"/>
  <c r="V19" i="64" s="1"/>
  <c r="J18" i="64"/>
  <c r="W18" i="64" s="1"/>
  <c r="J17" i="64"/>
  <c r="W17" i="64" s="1"/>
  <c r="J16" i="64"/>
  <c r="W16" i="64" s="1"/>
  <c r="J15" i="64"/>
  <c r="J14" i="64"/>
  <c r="J13" i="64"/>
  <c r="J12" i="64"/>
  <c r="V12" i="64" s="1"/>
  <c r="J11" i="64"/>
  <c r="W11" i="64" s="1"/>
  <c r="J10" i="64"/>
  <c r="W10" i="64" s="1"/>
  <c r="J6" i="64"/>
  <c r="V6" i="64" s="1"/>
  <c r="N4" i="64"/>
  <c r="W26" i="64" l="1"/>
  <c r="V32" i="64"/>
  <c r="V18" i="64"/>
  <c r="W27" i="64"/>
  <c r="W23" i="64"/>
  <c r="O6" i="65"/>
  <c r="R6" i="65" s="1"/>
  <c r="P8" i="65" s="1"/>
  <c r="Q4" i="65"/>
  <c r="Q6" i="65" s="1"/>
  <c r="W6" i="64"/>
  <c r="W12" i="64"/>
  <c r="V11" i="64"/>
  <c r="V13" i="64"/>
  <c r="W13" i="64"/>
  <c r="W9" i="64"/>
  <c r="V9" i="64"/>
  <c r="W14" i="64"/>
  <c r="V14" i="64"/>
  <c r="V15" i="64"/>
  <c r="W15" i="64"/>
  <c r="J33" i="64"/>
  <c r="V10" i="64"/>
  <c r="V17" i="64"/>
  <c r="V21" i="64"/>
  <c r="V25" i="64"/>
  <c r="N6" i="64"/>
  <c r="V7" i="64"/>
  <c r="V8" i="64"/>
  <c r="V16" i="64"/>
  <c r="V20" i="64"/>
  <c r="V24" i="64"/>
  <c r="W33" i="64" l="1"/>
  <c r="P4" i="64" s="1"/>
  <c r="P6" i="64" s="1"/>
  <c r="V33" i="64"/>
  <c r="O4" i="64" s="1"/>
  <c r="O6" i="64" s="1"/>
  <c r="R6" i="64" s="1"/>
  <c r="P8" i="64" s="1"/>
  <c r="Q4" i="64" l="1"/>
  <c r="Q6" i="64" s="1"/>
  <c r="R4" i="64"/>
  <c r="H15" i="62" l="1"/>
  <c r="H14" i="62"/>
  <c r="H13" i="62"/>
  <c r="H9" i="62"/>
  <c r="J32" i="62" l="1"/>
  <c r="V32" i="62" s="1"/>
  <c r="J31" i="62"/>
  <c r="J30" i="62"/>
  <c r="J29" i="62"/>
  <c r="J28" i="62"/>
  <c r="J27" i="62"/>
  <c r="W27" i="62" s="1"/>
  <c r="J26" i="62"/>
  <c r="W26" i="62" s="1"/>
  <c r="J25" i="62"/>
  <c r="W25" i="62" s="1"/>
  <c r="J24" i="62"/>
  <c r="V24" i="62" s="1"/>
  <c r="J23" i="62"/>
  <c r="W23" i="62" s="1"/>
  <c r="J22" i="62"/>
  <c r="W22" i="62" s="1"/>
  <c r="J21" i="62"/>
  <c r="W21" i="62" s="1"/>
  <c r="J20" i="62"/>
  <c r="V20" i="62" s="1"/>
  <c r="J19" i="62"/>
  <c r="W19" i="62" s="1"/>
  <c r="J18" i="62"/>
  <c r="W18" i="62" s="1"/>
  <c r="J17" i="62"/>
  <c r="W17" i="62" s="1"/>
  <c r="J16" i="62"/>
  <c r="V16" i="62" s="1"/>
  <c r="J15" i="62"/>
  <c r="W15" i="62" s="1"/>
  <c r="J14" i="62"/>
  <c r="W14" i="62" s="1"/>
  <c r="J13" i="62"/>
  <c r="J12" i="62"/>
  <c r="J11" i="62"/>
  <c r="W11" i="62" s="1"/>
  <c r="J10" i="62"/>
  <c r="V10" i="62" s="1"/>
  <c r="J9" i="62"/>
  <c r="V9" i="62" s="1"/>
  <c r="J8" i="62"/>
  <c r="J7" i="62"/>
  <c r="J6" i="62"/>
  <c r="W6" i="62" s="1"/>
  <c r="N4" i="62"/>
  <c r="W32" i="62" l="1"/>
  <c r="V21" i="62"/>
  <c r="W24" i="62"/>
  <c r="V19" i="62"/>
  <c r="V17" i="62"/>
  <c r="V25" i="62"/>
  <c r="W20" i="62"/>
  <c r="V27" i="62"/>
  <c r="W16" i="62"/>
  <c r="V23" i="62"/>
  <c r="W9" i="62"/>
  <c r="V11" i="62"/>
  <c r="V15" i="62"/>
  <c r="W10" i="62"/>
  <c r="W13" i="62"/>
  <c r="V13" i="62"/>
  <c r="W7" i="62"/>
  <c r="V7" i="62"/>
  <c r="W12" i="62"/>
  <c r="V12" i="62"/>
  <c r="V8" i="62"/>
  <c r="W8" i="62"/>
  <c r="N6" i="62"/>
  <c r="V14" i="62"/>
  <c r="V18" i="62"/>
  <c r="V22" i="62"/>
  <c r="V26" i="62"/>
  <c r="J33" i="62"/>
  <c r="V6" i="62"/>
  <c r="H12" i="60"/>
  <c r="W33" i="62" l="1"/>
  <c r="P4" i="62" s="1"/>
  <c r="P6" i="62" s="1"/>
  <c r="V33" i="62"/>
  <c r="O4" i="62" s="1"/>
  <c r="H11" i="60"/>
  <c r="R4" i="62" l="1"/>
  <c r="O6" i="62"/>
  <c r="R6" i="62" s="1"/>
  <c r="P8" i="62" s="1"/>
  <c r="Q4" i="62"/>
  <c r="Q6" i="62" s="1"/>
  <c r="H9" i="60"/>
  <c r="J9" i="60" s="1"/>
  <c r="H6" i="60"/>
  <c r="J33" i="60"/>
  <c r="V33" i="60" s="1"/>
  <c r="J32" i="60"/>
  <c r="J31" i="60"/>
  <c r="J30" i="60"/>
  <c r="J29" i="60"/>
  <c r="J28" i="60"/>
  <c r="W28" i="60" s="1"/>
  <c r="J27" i="60"/>
  <c r="W27" i="60" s="1"/>
  <c r="J26" i="60"/>
  <c r="W26" i="60" s="1"/>
  <c r="J25" i="60"/>
  <c r="V25" i="60" s="1"/>
  <c r="J24" i="60"/>
  <c r="J23" i="60"/>
  <c r="W23" i="60" s="1"/>
  <c r="J22" i="60"/>
  <c r="W22" i="60" s="1"/>
  <c r="J21" i="60"/>
  <c r="W21" i="60" s="1"/>
  <c r="J20" i="60"/>
  <c r="W20" i="60" s="1"/>
  <c r="J19" i="60"/>
  <c r="W19" i="60" s="1"/>
  <c r="J18" i="60"/>
  <c r="J17" i="60"/>
  <c r="W17" i="60" s="1"/>
  <c r="J16" i="60"/>
  <c r="W16" i="60" s="1"/>
  <c r="J15" i="60"/>
  <c r="W15" i="60" s="1"/>
  <c r="J14" i="60"/>
  <c r="J13" i="60"/>
  <c r="V13" i="60" s="1"/>
  <c r="J12" i="60"/>
  <c r="W12" i="60" s="1"/>
  <c r="J11" i="60"/>
  <c r="W11" i="60" s="1"/>
  <c r="J10" i="60"/>
  <c r="J8" i="60"/>
  <c r="W8" i="60" s="1"/>
  <c r="J7" i="60"/>
  <c r="W7" i="60" s="1"/>
  <c r="Q6" i="60"/>
  <c r="P6" i="60"/>
  <c r="O6" i="60"/>
  <c r="J6" i="60"/>
  <c r="N4" i="60"/>
  <c r="R4" i="60" s="1"/>
  <c r="W33" i="60" l="1"/>
  <c r="V28" i="60"/>
  <c r="W25" i="60"/>
  <c r="V23" i="60"/>
  <c r="W13" i="60"/>
  <c r="V12" i="60"/>
  <c r="W6" i="60"/>
  <c r="J34" i="60"/>
  <c r="V6" i="60"/>
  <c r="W9" i="60"/>
  <c r="V9" i="60"/>
  <c r="V14" i="60"/>
  <c r="W14" i="60"/>
  <c r="W24" i="60"/>
  <c r="V24" i="60"/>
  <c r="W10" i="60"/>
  <c r="V10" i="60"/>
  <c r="N6" i="60"/>
  <c r="R6" i="60" s="1"/>
  <c r="P8" i="60" s="1"/>
  <c r="V7" i="60"/>
  <c r="V11" i="60"/>
  <c r="V16" i="60"/>
  <c r="V17" i="60"/>
  <c r="V20" i="60"/>
  <c r="V21" i="60"/>
  <c r="V22" i="60"/>
  <c r="V27" i="60"/>
  <c r="V8" i="60"/>
  <c r="V15" i="60"/>
  <c r="V19" i="60"/>
  <c r="V26" i="60"/>
  <c r="H24" i="59"/>
  <c r="H22" i="59"/>
  <c r="V34" i="60" l="1"/>
  <c r="W34" i="60"/>
  <c r="H21" i="59"/>
  <c r="H17" i="59"/>
  <c r="H18" i="59" l="1"/>
  <c r="H14" i="59" l="1"/>
  <c r="H10" i="59"/>
  <c r="H6" i="59"/>
  <c r="H9" i="59" l="1"/>
  <c r="H8" i="59"/>
  <c r="J8" i="59" s="1"/>
  <c r="W8" i="59" s="1"/>
  <c r="H7" i="59"/>
  <c r="J7" i="59" s="1"/>
  <c r="J33" i="59"/>
  <c r="W33" i="59" s="1"/>
  <c r="J32" i="59"/>
  <c r="J31" i="59"/>
  <c r="J30" i="59"/>
  <c r="J29" i="59"/>
  <c r="J28" i="59"/>
  <c r="W28" i="59" s="1"/>
  <c r="J27" i="59"/>
  <c r="V27" i="59" s="1"/>
  <c r="J26" i="59"/>
  <c r="W26" i="59" s="1"/>
  <c r="J25" i="59"/>
  <c r="W25" i="59" s="1"/>
  <c r="J24" i="59"/>
  <c r="W24" i="59" s="1"/>
  <c r="J23" i="59"/>
  <c r="W23" i="59" s="1"/>
  <c r="J22" i="59"/>
  <c r="V22" i="59" s="1"/>
  <c r="J21" i="59"/>
  <c r="J20" i="59"/>
  <c r="J19" i="59"/>
  <c r="J18" i="59"/>
  <c r="J17" i="59"/>
  <c r="J16" i="59"/>
  <c r="J15" i="59"/>
  <c r="W15" i="59" s="1"/>
  <c r="J14" i="59"/>
  <c r="J13" i="59"/>
  <c r="J12" i="59"/>
  <c r="V12" i="59" s="1"/>
  <c r="J11" i="59"/>
  <c r="V11" i="59" s="1"/>
  <c r="J10" i="59"/>
  <c r="W10" i="59" s="1"/>
  <c r="J9" i="59"/>
  <c r="W9" i="59" s="1"/>
  <c r="Q6" i="59"/>
  <c r="P6" i="59"/>
  <c r="O6" i="59"/>
  <c r="J6" i="59"/>
  <c r="N4" i="59"/>
  <c r="R4" i="59" s="1"/>
  <c r="W27" i="59" l="1"/>
  <c r="W11" i="59"/>
  <c r="W22" i="59"/>
  <c r="J34" i="59"/>
  <c r="W12" i="59"/>
  <c r="V26" i="59"/>
  <c r="W7" i="59"/>
  <c r="V7" i="59"/>
  <c r="W16" i="59"/>
  <c r="V16" i="59"/>
  <c r="W20" i="59"/>
  <c r="V20" i="59"/>
  <c r="V19" i="59"/>
  <c r="W19" i="59"/>
  <c r="W17" i="59"/>
  <c r="V17" i="59"/>
  <c r="V13" i="59"/>
  <c r="W13" i="59"/>
  <c r="W21" i="59"/>
  <c r="V21" i="59"/>
  <c r="V14" i="59"/>
  <c r="W14" i="59"/>
  <c r="N6" i="59"/>
  <c r="R6" i="59" s="1"/>
  <c r="P8" i="59" s="1"/>
  <c r="V9" i="59"/>
  <c r="V10" i="59"/>
  <c r="V24" i="59"/>
  <c r="V25" i="59"/>
  <c r="V33" i="59"/>
  <c r="V6" i="59"/>
  <c r="V8" i="59"/>
  <c r="V15" i="59"/>
  <c r="V23" i="59"/>
  <c r="V28" i="59"/>
  <c r="W6" i="59"/>
  <c r="H21" i="58"/>
  <c r="H25" i="58"/>
  <c r="W34" i="59" l="1"/>
  <c r="V34" i="59"/>
  <c r="H20" i="58"/>
  <c r="H19" i="58"/>
  <c r="H18" i="58"/>
  <c r="H17" i="58" l="1"/>
  <c r="H16" i="58" l="1"/>
  <c r="H14" i="58" l="1"/>
  <c r="H13" i="58"/>
  <c r="H10" i="58"/>
  <c r="J10" i="58" s="1"/>
  <c r="V10" i="58" s="1"/>
  <c r="H7" i="58"/>
  <c r="J7" i="58" s="1"/>
  <c r="V7" i="58" s="1"/>
  <c r="H6" i="58"/>
  <c r="J33" i="58"/>
  <c r="V33" i="58" s="1"/>
  <c r="J32" i="58"/>
  <c r="J31" i="58"/>
  <c r="J30" i="58"/>
  <c r="J29" i="58"/>
  <c r="J28" i="58"/>
  <c r="V28" i="58" s="1"/>
  <c r="J27" i="58"/>
  <c r="W27" i="58" s="1"/>
  <c r="J26" i="58"/>
  <c r="V26" i="58" s="1"/>
  <c r="J25" i="58"/>
  <c r="W25" i="58" s="1"/>
  <c r="J24" i="58"/>
  <c r="W24" i="58" s="1"/>
  <c r="J23" i="58"/>
  <c r="V23" i="58" s="1"/>
  <c r="J22" i="58"/>
  <c r="V22" i="58" s="1"/>
  <c r="J21" i="58"/>
  <c r="V21" i="58" s="1"/>
  <c r="J20" i="58"/>
  <c r="V20" i="58" s="1"/>
  <c r="J19" i="58"/>
  <c r="J18" i="58"/>
  <c r="J17" i="58"/>
  <c r="W17" i="58" s="1"/>
  <c r="J16" i="58"/>
  <c r="V16" i="58" s="1"/>
  <c r="J15" i="58"/>
  <c r="V15" i="58" s="1"/>
  <c r="J14" i="58"/>
  <c r="V14" i="58" s="1"/>
  <c r="J13" i="58"/>
  <c r="V13" i="58" s="1"/>
  <c r="J12" i="58"/>
  <c r="V12" i="58" s="1"/>
  <c r="J11" i="58"/>
  <c r="V11" i="58" s="1"/>
  <c r="J9" i="58"/>
  <c r="J8" i="58"/>
  <c r="W8" i="58" s="1"/>
  <c r="Q6" i="58"/>
  <c r="P6" i="58"/>
  <c r="O6" i="58"/>
  <c r="J6" i="58"/>
  <c r="N4" i="58"/>
  <c r="N6" i="58" s="1"/>
  <c r="W33" i="58" l="1"/>
  <c r="W26" i="58"/>
  <c r="R6" i="58"/>
  <c r="P8" i="58" s="1"/>
  <c r="V25" i="58"/>
  <c r="V17" i="58"/>
  <c r="V24" i="58"/>
  <c r="V6" i="58"/>
  <c r="J34" i="58"/>
  <c r="W6" i="58"/>
  <c r="W9" i="58"/>
  <c r="V9" i="58"/>
  <c r="W19" i="58"/>
  <c r="V19" i="58"/>
  <c r="W7" i="58"/>
  <c r="V8" i="58"/>
  <c r="W10" i="58"/>
  <c r="W11" i="58"/>
  <c r="W12" i="58"/>
  <c r="W13" i="58"/>
  <c r="W14" i="58"/>
  <c r="W15" i="58"/>
  <c r="W16" i="58"/>
  <c r="W20" i="58"/>
  <c r="W21" i="58"/>
  <c r="W22" i="58"/>
  <c r="W23" i="58"/>
  <c r="V27" i="58"/>
  <c r="W28" i="58"/>
  <c r="R4" i="58"/>
  <c r="H24" i="57"/>
  <c r="H23" i="57"/>
  <c r="W34" i="58" l="1"/>
  <c r="V34" i="58"/>
  <c r="H7" i="57"/>
  <c r="H13" i="57" l="1"/>
  <c r="H15" i="57"/>
  <c r="H22" i="57" l="1"/>
  <c r="H21" i="57"/>
  <c r="H19" i="57"/>
  <c r="H18" i="57" l="1"/>
  <c r="H16" i="57"/>
  <c r="H8" i="57" l="1"/>
  <c r="H17" i="56"/>
  <c r="H14" i="57"/>
  <c r="H11" i="57"/>
  <c r="H9" i="57"/>
  <c r="H6" i="57"/>
  <c r="H12" i="57" l="1"/>
  <c r="J33" i="57" l="1"/>
  <c r="W33" i="57" s="1"/>
  <c r="J32" i="57"/>
  <c r="J31" i="57"/>
  <c r="J30" i="57"/>
  <c r="J29" i="57"/>
  <c r="J28" i="57"/>
  <c r="W28" i="57" s="1"/>
  <c r="J27" i="57"/>
  <c r="W27" i="57" s="1"/>
  <c r="J26" i="57"/>
  <c r="W26" i="57" s="1"/>
  <c r="J25" i="57"/>
  <c r="W25" i="57" s="1"/>
  <c r="J24" i="57"/>
  <c r="W24" i="57" s="1"/>
  <c r="J23" i="57"/>
  <c r="W23" i="57" s="1"/>
  <c r="J22" i="57"/>
  <c r="W22" i="57" s="1"/>
  <c r="J21" i="57"/>
  <c r="W21" i="57" s="1"/>
  <c r="J20" i="57"/>
  <c r="W20" i="57" s="1"/>
  <c r="J19" i="57"/>
  <c r="W19" i="57" s="1"/>
  <c r="J18" i="57"/>
  <c r="J17" i="57"/>
  <c r="J16" i="57"/>
  <c r="V16" i="57" s="1"/>
  <c r="J15" i="57"/>
  <c r="W15" i="57" s="1"/>
  <c r="J14" i="57"/>
  <c r="W14" i="57" s="1"/>
  <c r="J13" i="57"/>
  <c r="V13" i="57" s="1"/>
  <c r="J12" i="57"/>
  <c r="W12" i="57" s="1"/>
  <c r="J11" i="57"/>
  <c r="W11" i="57" s="1"/>
  <c r="J10" i="57"/>
  <c r="W10" i="57" s="1"/>
  <c r="J9" i="57"/>
  <c r="W9" i="57" s="1"/>
  <c r="J8" i="57"/>
  <c r="J7" i="57"/>
  <c r="Q6" i="57"/>
  <c r="P6" i="57"/>
  <c r="O6" i="57"/>
  <c r="J6" i="57"/>
  <c r="V6" i="57" s="1"/>
  <c r="N4" i="57"/>
  <c r="N6" i="57" s="1"/>
  <c r="V25" i="57" l="1"/>
  <c r="V27" i="57"/>
  <c r="V33" i="57"/>
  <c r="V26" i="57"/>
  <c r="V23" i="57"/>
  <c r="V21" i="57"/>
  <c r="V19" i="57"/>
  <c r="V22" i="57"/>
  <c r="W16" i="57"/>
  <c r="W13" i="57"/>
  <c r="V10" i="57"/>
  <c r="V12" i="57"/>
  <c r="V15" i="57"/>
  <c r="V14" i="57"/>
  <c r="J34" i="57"/>
  <c r="R6" i="57"/>
  <c r="P8" i="57" s="1"/>
  <c r="W6" i="57"/>
  <c r="V9" i="57"/>
  <c r="V11" i="57"/>
  <c r="V7" i="57"/>
  <c r="W7" i="57"/>
  <c r="W17" i="57"/>
  <c r="V17" i="57"/>
  <c r="W8" i="57"/>
  <c r="V8" i="57"/>
  <c r="R4" i="57"/>
  <c r="V20" i="57"/>
  <c r="V24" i="57"/>
  <c r="V28" i="57"/>
  <c r="H15" i="56"/>
  <c r="H14" i="56"/>
  <c r="H12" i="56"/>
  <c r="H11" i="56"/>
  <c r="H10" i="56"/>
  <c r="H9" i="56"/>
  <c r="H8" i="56"/>
  <c r="H7" i="56"/>
  <c r="W34" i="57" l="1"/>
  <c r="V34" i="57"/>
  <c r="J33" i="56"/>
  <c r="V33" i="56" s="1"/>
  <c r="J32" i="56"/>
  <c r="J31" i="56"/>
  <c r="J30" i="56"/>
  <c r="J29" i="56"/>
  <c r="J28" i="56"/>
  <c r="W28" i="56" s="1"/>
  <c r="J27" i="56"/>
  <c r="W27" i="56" s="1"/>
  <c r="J26" i="56"/>
  <c r="W26" i="56" s="1"/>
  <c r="J25" i="56"/>
  <c r="V25" i="56" s="1"/>
  <c r="J24" i="56"/>
  <c r="W24" i="56" s="1"/>
  <c r="J23" i="56"/>
  <c r="W23" i="56" s="1"/>
  <c r="J22" i="56"/>
  <c r="W22" i="56" s="1"/>
  <c r="J21" i="56"/>
  <c r="V21" i="56" s="1"/>
  <c r="J20" i="56"/>
  <c r="W20" i="56" s="1"/>
  <c r="J19" i="56"/>
  <c r="W19" i="56" s="1"/>
  <c r="J18" i="56"/>
  <c r="J17" i="56"/>
  <c r="W17" i="56" s="1"/>
  <c r="J16" i="56"/>
  <c r="W16" i="56" s="1"/>
  <c r="J15" i="56"/>
  <c r="J14" i="56"/>
  <c r="V14" i="56" s="1"/>
  <c r="J13" i="56"/>
  <c r="W13" i="56" s="1"/>
  <c r="J12" i="56"/>
  <c r="W12" i="56" s="1"/>
  <c r="J11" i="56"/>
  <c r="W11" i="56" s="1"/>
  <c r="J10" i="56"/>
  <c r="W10" i="56" s="1"/>
  <c r="J9" i="56"/>
  <c r="J8" i="56"/>
  <c r="V8" i="56" s="1"/>
  <c r="J7" i="56"/>
  <c r="V7" i="56" s="1"/>
  <c r="Q6" i="56"/>
  <c r="O6" i="56"/>
  <c r="J6" i="56"/>
  <c r="P6" i="56"/>
  <c r="N4" i="56"/>
  <c r="N6" i="56" s="1"/>
  <c r="V24" i="56" l="1"/>
  <c r="W33" i="56"/>
  <c r="W21" i="56"/>
  <c r="W25" i="56"/>
  <c r="V28" i="56"/>
  <c r="V20" i="56"/>
  <c r="V13" i="56"/>
  <c r="W7" i="56"/>
  <c r="R4" i="56"/>
  <c r="W8" i="56"/>
  <c r="W14" i="56"/>
  <c r="V9" i="56"/>
  <c r="W9" i="56"/>
  <c r="V6" i="56"/>
  <c r="J34" i="56"/>
  <c r="W6" i="56"/>
  <c r="R6" i="56"/>
  <c r="P8" i="56" s="1"/>
  <c r="V15" i="56"/>
  <c r="W15" i="56"/>
  <c r="V11" i="56"/>
  <c r="V12" i="56"/>
  <c r="V17" i="56"/>
  <c r="V19" i="56"/>
  <c r="V23" i="56"/>
  <c r="V27" i="56"/>
  <c r="V10" i="56"/>
  <c r="V16" i="56"/>
  <c r="V22" i="56"/>
  <c r="V26" i="56"/>
  <c r="H15" i="55"/>
  <c r="V34" i="56" l="1"/>
  <c r="W34" i="56"/>
  <c r="H12" i="55"/>
  <c r="J12" i="55" s="1"/>
  <c r="W12" i="55" s="1"/>
  <c r="H9" i="55"/>
  <c r="J9" i="55" s="1"/>
  <c r="V9" i="55" s="1"/>
  <c r="H6" i="55"/>
  <c r="J33" i="55"/>
  <c r="W33" i="55" s="1"/>
  <c r="P4" i="55" s="1"/>
  <c r="P6" i="55" s="1"/>
  <c r="J32" i="55"/>
  <c r="J31" i="55"/>
  <c r="J30" i="55"/>
  <c r="J29" i="55"/>
  <c r="J28" i="55"/>
  <c r="W28" i="55" s="1"/>
  <c r="J27" i="55"/>
  <c r="W27" i="55" s="1"/>
  <c r="J26" i="55"/>
  <c r="V26" i="55" s="1"/>
  <c r="V25" i="55"/>
  <c r="J25" i="55"/>
  <c r="W25" i="55" s="1"/>
  <c r="J24" i="55"/>
  <c r="W24" i="55" s="1"/>
  <c r="J23" i="55"/>
  <c r="W23" i="55" s="1"/>
  <c r="J22" i="55"/>
  <c r="W22" i="55" s="1"/>
  <c r="J21" i="55"/>
  <c r="W21" i="55" s="1"/>
  <c r="J20" i="55"/>
  <c r="W20" i="55" s="1"/>
  <c r="J19" i="55"/>
  <c r="W19" i="55" s="1"/>
  <c r="J18" i="55"/>
  <c r="J17" i="55"/>
  <c r="W17" i="55" s="1"/>
  <c r="J16" i="55"/>
  <c r="V16" i="55" s="1"/>
  <c r="J15" i="55"/>
  <c r="W15" i="55" s="1"/>
  <c r="J14" i="55"/>
  <c r="W14" i="55" s="1"/>
  <c r="J13" i="55"/>
  <c r="W13" i="55" s="1"/>
  <c r="J11" i="55"/>
  <c r="V11" i="55" s="1"/>
  <c r="J10" i="55"/>
  <c r="W10" i="55" s="1"/>
  <c r="J8" i="55"/>
  <c r="W8" i="55" s="1"/>
  <c r="J7" i="55"/>
  <c r="W7" i="55" s="1"/>
  <c r="Q6" i="55"/>
  <c r="O6" i="55"/>
  <c r="J6" i="55"/>
  <c r="N4" i="55"/>
  <c r="N6" i="55" s="1"/>
  <c r="W26" i="55" l="1"/>
  <c r="V33" i="55"/>
  <c r="W16" i="55"/>
  <c r="V22" i="55"/>
  <c r="V21" i="55"/>
  <c r="V15" i="55"/>
  <c r="R4" i="55"/>
  <c r="V6" i="55"/>
  <c r="J34" i="55"/>
  <c r="W6" i="55"/>
  <c r="R6" i="55"/>
  <c r="P8" i="55" s="1"/>
  <c r="V10" i="55"/>
  <c r="V12" i="55"/>
  <c r="V13" i="55"/>
  <c r="V14" i="55"/>
  <c r="V20" i="55"/>
  <c r="V24" i="55"/>
  <c r="V28" i="55"/>
  <c r="V7" i="55"/>
  <c r="V8" i="55"/>
  <c r="W9" i="55"/>
  <c r="W11" i="55"/>
  <c r="V17" i="55"/>
  <c r="V19" i="55"/>
  <c r="V23" i="55"/>
  <c r="V27" i="55"/>
  <c r="H11" i="54"/>
  <c r="H6" i="54"/>
  <c r="W34" i="55" l="1"/>
  <c r="V34" i="55"/>
  <c r="H14" i="54"/>
  <c r="J14" i="54" s="1"/>
  <c r="W14" i="54" s="1"/>
  <c r="H13" i="54"/>
  <c r="J13" i="54" s="1"/>
  <c r="V13" i="54" s="1"/>
  <c r="H12" i="54"/>
  <c r="H10" i="54"/>
  <c r="J6" i="54"/>
  <c r="W6" i="54" s="1"/>
  <c r="J33" i="54"/>
  <c r="V33" i="54" s="1"/>
  <c r="J32" i="54"/>
  <c r="J31" i="54"/>
  <c r="J30" i="54"/>
  <c r="J29" i="54"/>
  <c r="J28" i="54"/>
  <c r="W28" i="54" s="1"/>
  <c r="J27" i="54"/>
  <c r="V27" i="54" s="1"/>
  <c r="J26" i="54"/>
  <c r="W26" i="54" s="1"/>
  <c r="J25" i="54"/>
  <c r="V25" i="54" s="1"/>
  <c r="J24" i="54"/>
  <c r="W24" i="54" s="1"/>
  <c r="J23" i="54"/>
  <c r="V23" i="54" s="1"/>
  <c r="J22" i="54"/>
  <c r="W22" i="54" s="1"/>
  <c r="J21" i="54"/>
  <c r="V21" i="54" s="1"/>
  <c r="J20" i="54"/>
  <c r="W20" i="54" s="1"/>
  <c r="J19" i="54"/>
  <c r="V19" i="54" s="1"/>
  <c r="J18" i="54"/>
  <c r="J17" i="54"/>
  <c r="V17" i="54" s="1"/>
  <c r="J16" i="54"/>
  <c r="J15" i="54"/>
  <c r="J12" i="54"/>
  <c r="J11" i="54"/>
  <c r="W11" i="54" s="1"/>
  <c r="J10" i="54"/>
  <c r="V10" i="54" s="1"/>
  <c r="J9" i="54"/>
  <c r="J8" i="54"/>
  <c r="W8" i="54" s="1"/>
  <c r="J7" i="54"/>
  <c r="V7" i="54" s="1"/>
  <c r="Q6" i="54"/>
  <c r="O6" i="54"/>
  <c r="N4" i="54"/>
  <c r="N6" i="54" s="1"/>
  <c r="W27" i="54" l="1"/>
  <c r="V26" i="54"/>
  <c r="V28" i="54"/>
  <c r="W23" i="54"/>
  <c r="V22" i="54"/>
  <c r="V24" i="54"/>
  <c r="V20" i="54"/>
  <c r="W19" i="54"/>
  <c r="W10" i="54"/>
  <c r="W7" i="54"/>
  <c r="V6" i="54"/>
  <c r="V8" i="54"/>
  <c r="V11" i="54"/>
  <c r="V14" i="54"/>
  <c r="W17" i="54"/>
  <c r="W15" i="54"/>
  <c r="V15" i="54"/>
  <c r="W16" i="54"/>
  <c r="V16" i="54"/>
  <c r="W12" i="54"/>
  <c r="V12" i="54"/>
  <c r="R6" i="54"/>
  <c r="P8" i="54" s="1"/>
  <c r="W9" i="54"/>
  <c r="V9" i="54"/>
  <c r="W21" i="54"/>
  <c r="W33" i="54"/>
  <c r="R4" i="54"/>
  <c r="W13" i="54"/>
  <c r="W25" i="54"/>
  <c r="J34" i="54"/>
  <c r="H16" i="53"/>
  <c r="V34" i="54" l="1"/>
  <c r="W34" i="54"/>
  <c r="P6" i="54" s="1"/>
  <c r="H15" i="53"/>
  <c r="J15" i="53" s="1"/>
  <c r="H12" i="53"/>
  <c r="J12" i="53" s="1"/>
  <c r="W12" i="53" s="1"/>
  <c r="J11" i="53"/>
  <c r="W11" i="53" s="1"/>
  <c r="H9" i="53"/>
  <c r="H8" i="53"/>
  <c r="J8" i="53" s="1"/>
  <c r="H6" i="53"/>
  <c r="J6" i="53" s="1"/>
  <c r="V6" i="53" s="1"/>
  <c r="J33" i="53"/>
  <c r="V33" i="53" s="1"/>
  <c r="J32" i="53"/>
  <c r="J31" i="53"/>
  <c r="J30" i="53"/>
  <c r="J29" i="53"/>
  <c r="J28" i="53"/>
  <c r="V28" i="53" s="1"/>
  <c r="J27" i="53"/>
  <c r="W27" i="53" s="1"/>
  <c r="J26" i="53"/>
  <c r="W26" i="53" s="1"/>
  <c r="J25" i="53"/>
  <c r="V25" i="53" s="1"/>
  <c r="J24" i="53"/>
  <c r="V24" i="53" s="1"/>
  <c r="J23" i="53"/>
  <c r="W23" i="53" s="1"/>
  <c r="J22" i="53"/>
  <c r="W22" i="53" s="1"/>
  <c r="J21" i="53"/>
  <c r="V21" i="53" s="1"/>
  <c r="J20" i="53"/>
  <c r="W20" i="53" s="1"/>
  <c r="J19" i="53"/>
  <c r="W19" i="53" s="1"/>
  <c r="J18" i="53"/>
  <c r="J17" i="53"/>
  <c r="W17" i="53" s="1"/>
  <c r="J16" i="53"/>
  <c r="W16" i="53" s="1"/>
  <c r="J14" i="53"/>
  <c r="V14" i="53" s="1"/>
  <c r="J13" i="53"/>
  <c r="V13" i="53" s="1"/>
  <c r="J10" i="53"/>
  <c r="V10" i="53" s="1"/>
  <c r="J9" i="53"/>
  <c r="J7" i="53"/>
  <c r="Q6" i="53"/>
  <c r="O6" i="53"/>
  <c r="N4" i="53"/>
  <c r="N6" i="53" s="1"/>
  <c r="W25" i="53" l="1"/>
  <c r="W28" i="53"/>
  <c r="R6" i="53"/>
  <c r="P8" i="53" s="1"/>
  <c r="W33" i="53"/>
  <c r="W24" i="53"/>
  <c r="W21" i="53"/>
  <c r="V20" i="53"/>
  <c r="W13" i="53"/>
  <c r="W10" i="53"/>
  <c r="R4" i="53"/>
  <c r="W6" i="53"/>
  <c r="W14" i="53"/>
  <c r="V7" i="53"/>
  <c r="W7" i="53"/>
  <c r="V15" i="53"/>
  <c r="W15" i="53"/>
  <c r="W8" i="53"/>
  <c r="V8" i="53"/>
  <c r="W9" i="53"/>
  <c r="V9" i="53"/>
  <c r="V12" i="53"/>
  <c r="V17" i="53"/>
  <c r="V19" i="53"/>
  <c r="V23" i="53"/>
  <c r="V27" i="53"/>
  <c r="J34" i="53"/>
  <c r="V11" i="53"/>
  <c r="V16" i="53"/>
  <c r="V22" i="53"/>
  <c r="V26" i="53"/>
  <c r="H15" i="52"/>
  <c r="W34" i="53" l="1"/>
  <c r="P4" i="53" s="1"/>
  <c r="P6" i="53" s="1"/>
  <c r="V34" i="53"/>
  <c r="H9" i="52"/>
  <c r="H8" i="52" l="1"/>
  <c r="H7" i="52"/>
  <c r="J33" i="52"/>
  <c r="V33" i="52" s="1"/>
  <c r="J32" i="52"/>
  <c r="J31" i="52"/>
  <c r="J30" i="52"/>
  <c r="J29" i="52"/>
  <c r="J28" i="52"/>
  <c r="W28" i="52" s="1"/>
  <c r="J27" i="52"/>
  <c r="V27" i="52" s="1"/>
  <c r="J26" i="52"/>
  <c r="W26" i="52" s="1"/>
  <c r="J25" i="52"/>
  <c r="V25" i="52" s="1"/>
  <c r="J24" i="52"/>
  <c r="W24" i="52" s="1"/>
  <c r="J23" i="52"/>
  <c r="V23" i="52" s="1"/>
  <c r="J22" i="52"/>
  <c r="V22" i="52" s="1"/>
  <c r="J21" i="52"/>
  <c r="W21" i="52" s="1"/>
  <c r="J20" i="52"/>
  <c r="W20" i="52" s="1"/>
  <c r="J19" i="52"/>
  <c r="V19" i="52" s="1"/>
  <c r="J18" i="52"/>
  <c r="J17" i="52"/>
  <c r="V17" i="52" s="1"/>
  <c r="J16" i="52"/>
  <c r="V16" i="52" s="1"/>
  <c r="J15" i="52"/>
  <c r="W15" i="52" s="1"/>
  <c r="J14" i="52"/>
  <c r="J13" i="52"/>
  <c r="J12" i="52"/>
  <c r="J11" i="52"/>
  <c r="J10" i="52"/>
  <c r="J9" i="52"/>
  <c r="J8" i="52"/>
  <c r="W8" i="52" s="1"/>
  <c r="J7" i="52"/>
  <c r="W7" i="52" s="1"/>
  <c r="Q6" i="52"/>
  <c r="O6" i="52"/>
  <c r="J6" i="52"/>
  <c r="V6" i="52" s="1"/>
  <c r="N4" i="52"/>
  <c r="N6" i="52" s="1"/>
  <c r="W23" i="52" l="1"/>
  <c r="V26" i="52"/>
  <c r="W27" i="52"/>
  <c r="W19" i="52"/>
  <c r="W22" i="52"/>
  <c r="W17" i="52"/>
  <c r="W16" i="52"/>
  <c r="R6" i="52"/>
  <c r="P8" i="52" s="1"/>
  <c r="W12" i="52"/>
  <c r="V12" i="52"/>
  <c r="J34" i="52"/>
  <c r="W13" i="52"/>
  <c r="V13" i="52"/>
  <c r="W10" i="52"/>
  <c r="V10" i="52"/>
  <c r="W14" i="52"/>
  <c r="V14" i="52"/>
  <c r="W9" i="52"/>
  <c r="V9" i="52"/>
  <c r="W11" i="52"/>
  <c r="V11" i="52"/>
  <c r="V7" i="52"/>
  <c r="V15" i="52"/>
  <c r="V21" i="52"/>
  <c r="R4" i="52"/>
  <c r="W6" i="52"/>
  <c r="V8" i="52"/>
  <c r="V20" i="52"/>
  <c r="V24" i="52"/>
  <c r="W25" i="52"/>
  <c r="V28" i="52"/>
  <c r="W33" i="52"/>
  <c r="H14" i="51"/>
  <c r="W34" i="52" l="1"/>
  <c r="P4" i="52" s="1"/>
  <c r="P6" i="52" s="1"/>
  <c r="V34" i="52"/>
  <c r="H13" i="51"/>
  <c r="H12" i="51"/>
  <c r="H11" i="51" l="1"/>
  <c r="H10" i="51"/>
  <c r="H9" i="51"/>
  <c r="J9" i="51" s="1"/>
  <c r="W9" i="51" s="1"/>
  <c r="H8" i="51"/>
  <c r="J8" i="51" s="1"/>
  <c r="V8" i="51" s="1"/>
  <c r="H7" i="51"/>
  <c r="J33" i="51"/>
  <c r="W33" i="51" s="1"/>
  <c r="J32" i="51"/>
  <c r="J31" i="51"/>
  <c r="J30" i="51"/>
  <c r="J29" i="51"/>
  <c r="J28" i="51"/>
  <c r="W28" i="51" s="1"/>
  <c r="W27" i="51"/>
  <c r="J27" i="51"/>
  <c r="V27" i="51" s="1"/>
  <c r="J26" i="51"/>
  <c r="W26" i="51" s="1"/>
  <c r="J25" i="51"/>
  <c r="W25" i="51" s="1"/>
  <c r="J24" i="51"/>
  <c r="W24" i="51" s="1"/>
  <c r="J23" i="51"/>
  <c r="V23" i="51" s="1"/>
  <c r="J22" i="51"/>
  <c r="W22" i="51" s="1"/>
  <c r="J21" i="51"/>
  <c r="W21" i="51" s="1"/>
  <c r="J20" i="51"/>
  <c r="W20" i="51" s="1"/>
  <c r="J19" i="51"/>
  <c r="V19" i="51" s="1"/>
  <c r="J18" i="51"/>
  <c r="J17" i="51"/>
  <c r="J16" i="51"/>
  <c r="V16" i="51" s="1"/>
  <c r="J15" i="51"/>
  <c r="W15" i="51" s="1"/>
  <c r="J14" i="51"/>
  <c r="W14" i="51" s="1"/>
  <c r="J13" i="51"/>
  <c r="W13" i="51" s="1"/>
  <c r="J12" i="51"/>
  <c r="V12" i="51" s="1"/>
  <c r="J11" i="51"/>
  <c r="W11" i="51" s="1"/>
  <c r="J10" i="51"/>
  <c r="W10" i="51" s="1"/>
  <c r="J7" i="51"/>
  <c r="V7" i="51" s="1"/>
  <c r="Q6" i="51"/>
  <c r="O6" i="51"/>
  <c r="J6" i="51"/>
  <c r="N4" i="51"/>
  <c r="N6" i="51" s="1"/>
  <c r="V26" i="51" l="1"/>
  <c r="W23" i="51"/>
  <c r="W19" i="51"/>
  <c r="V22" i="51"/>
  <c r="W12" i="51"/>
  <c r="V15" i="51"/>
  <c r="W8" i="51"/>
  <c r="V11" i="51"/>
  <c r="R6" i="51"/>
  <c r="P8" i="51" s="1"/>
  <c r="R4" i="51"/>
  <c r="W7" i="51"/>
  <c r="W16" i="51"/>
  <c r="J34" i="51"/>
  <c r="W6" i="51"/>
  <c r="V6" i="51"/>
  <c r="V17" i="51"/>
  <c r="W17" i="51"/>
  <c r="V10" i="51"/>
  <c r="V14" i="51"/>
  <c r="V21" i="51"/>
  <c r="V25" i="51"/>
  <c r="V33" i="51"/>
  <c r="V9" i="51"/>
  <c r="V13" i="51"/>
  <c r="V20" i="51"/>
  <c r="V24" i="51"/>
  <c r="V28" i="51"/>
  <c r="H17" i="50"/>
  <c r="H6" i="50"/>
  <c r="W34" i="51" l="1"/>
  <c r="P4" i="51" s="1"/>
  <c r="P6" i="51" s="1"/>
  <c r="V34" i="51"/>
  <c r="J33" i="50"/>
  <c r="V33" i="50" s="1"/>
  <c r="J32" i="50"/>
  <c r="J31" i="50"/>
  <c r="J30" i="50"/>
  <c r="J29" i="50"/>
  <c r="W28" i="50"/>
  <c r="J28" i="50"/>
  <c r="V28" i="50" s="1"/>
  <c r="J27" i="50"/>
  <c r="W27" i="50" s="1"/>
  <c r="J26" i="50"/>
  <c r="W26" i="50" s="1"/>
  <c r="J25" i="50"/>
  <c r="V25" i="50" s="1"/>
  <c r="J24" i="50"/>
  <c r="V24" i="50" s="1"/>
  <c r="J23" i="50"/>
  <c r="W23" i="50" s="1"/>
  <c r="J22" i="50"/>
  <c r="W22" i="50" s="1"/>
  <c r="J21" i="50"/>
  <c r="V21" i="50" s="1"/>
  <c r="J20" i="50"/>
  <c r="V20" i="50" s="1"/>
  <c r="J19" i="50"/>
  <c r="W19" i="50" s="1"/>
  <c r="J18" i="50"/>
  <c r="J17" i="50"/>
  <c r="V17" i="50" s="1"/>
  <c r="J16" i="50"/>
  <c r="W16" i="50" s="1"/>
  <c r="J15" i="50"/>
  <c r="W15" i="50" s="1"/>
  <c r="J14" i="50"/>
  <c r="W14" i="50" s="1"/>
  <c r="J13" i="50"/>
  <c r="V13" i="50" s="1"/>
  <c r="J12" i="50"/>
  <c r="V12" i="50" s="1"/>
  <c r="J11" i="50"/>
  <c r="J10" i="50"/>
  <c r="J9" i="50"/>
  <c r="V9" i="50" s="1"/>
  <c r="J8" i="50"/>
  <c r="V8" i="50" s="1"/>
  <c r="J7" i="50"/>
  <c r="Q6" i="50"/>
  <c r="O6" i="50"/>
  <c r="J6" i="50"/>
  <c r="V6" i="50" s="1"/>
  <c r="N4" i="50"/>
  <c r="R4" i="50" s="1"/>
  <c r="V19" i="50" l="1"/>
  <c r="W24" i="50"/>
  <c r="V27" i="50"/>
  <c r="W20" i="50"/>
  <c r="V23" i="50"/>
  <c r="W17" i="50"/>
  <c r="W9" i="50"/>
  <c r="W6" i="50"/>
  <c r="W8" i="50"/>
  <c r="V15" i="50"/>
  <c r="V14" i="50"/>
  <c r="V16" i="50"/>
  <c r="W11" i="50"/>
  <c r="V11" i="50"/>
  <c r="W7" i="50"/>
  <c r="J34" i="50"/>
  <c r="V7" i="50"/>
  <c r="W10" i="50"/>
  <c r="V10" i="50"/>
  <c r="N6" i="50"/>
  <c r="R6" i="50" s="1"/>
  <c r="P8" i="50" s="1"/>
  <c r="W12" i="50"/>
  <c r="W13" i="50"/>
  <c r="W21" i="50"/>
  <c r="W25" i="50"/>
  <c r="W33" i="50"/>
  <c r="V22" i="50"/>
  <c r="V26" i="50"/>
  <c r="H16" i="49"/>
  <c r="H15" i="49"/>
  <c r="H13" i="49"/>
  <c r="H11" i="49"/>
  <c r="H10" i="49"/>
  <c r="H7" i="49"/>
  <c r="W34" i="50" l="1"/>
  <c r="P4" i="50" s="1"/>
  <c r="P6" i="50" s="1"/>
  <c r="V34" i="50"/>
  <c r="J33" i="49"/>
  <c r="W33" i="49" s="1"/>
  <c r="J32" i="49"/>
  <c r="J31" i="49"/>
  <c r="J30" i="49"/>
  <c r="J29" i="49"/>
  <c r="J28" i="49"/>
  <c r="W28" i="49" s="1"/>
  <c r="J27" i="49"/>
  <c r="W27" i="49" s="1"/>
  <c r="J26" i="49"/>
  <c r="W26" i="49" s="1"/>
  <c r="J25" i="49"/>
  <c r="W25" i="49" s="1"/>
  <c r="J24" i="49"/>
  <c r="W24" i="49" s="1"/>
  <c r="J23" i="49"/>
  <c r="W23" i="49" s="1"/>
  <c r="J22" i="49"/>
  <c r="W22" i="49" s="1"/>
  <c r="J21" i="49"/>
  <c r="V21" i="49" s="1"/>
  <c r="J20" i="49"/>
  <c r="W20" i="49" s="1"/>
  <c r="J19" i="49"/>
  <c r="W19" i="49" s="1"/>
  <c r="J18" i="49"/>
  <c r="J17" i="49"/>
  <c r="W17" i="49" s="1"/>
  <c r="J16" i="49"/>
  <c r="V16" i="49" s="1"/>
  <c r="W15" i="49"/>
  <c r="V15" i="49"/>
  <c r="J15" i="49"/>
  <c r="J14" i="49"/>
  <c r="W14" i="49" s="1"/>
  <c r="J13" i="49"/>
  <c r="W13" i="49" s="1"/>
  <c r="J12" i="49"/>
  <c r="J11" i="49"/>
  <c r="J10" i="49"/>
  <c r="W10" i="49" s="1"/>
  <c r="J9" i="49"/>
  <c r="V9" i="49" s="1"/>
  <c r="J8" i="49"/>
  <c r="W8" i="49" s="1"/>
  <c r="J7" i="49"/>
  <c r="V7" i="49" s="1"/>
  <c r="Q6" i="49"/>
  <c r="O6" i="49"/>
  <c r="J6" i="49"/>
  <c r="V6" i="49" s="1"/>
  <c r="N4" i="49"/>
  <c r="N6" i="49" s="1"/>
  <c r="V26" i="49" l="1"/>
  <c r="W16" i="49"/>
  <c r="V25" i="49"/>
  <c r="V33" i="49"/>
  <c r="W21" i="49"/>
  <c r="V22" i="49"/>
  <c r="R6" i="49"/>
  <c r="P8" i="49" s="1"/>
  <c r="V10" i="49"/>
  <c r="W9" i="49"/>
  <c r="R4" i="49"/>
  <c r="V8" i="49"/>
  <c r="V11" i="49"/>
  <c r="W11" i="49"/>
  <c r="J34" i="49"/>
  <c r="V12" i="49"/>
  <c r="W12" i="49"/>
  <c r="V14" i="49"/>
  <c r="V20" i="49"/>
  <c r="V24" i="49"/>
  <c r="V28" i="49"/>
  <c r="W6" i="49"/>
  <c r="W7" i="49"/>
  <c r="V13" i="49"/>
  <c r="V17" i="49"/>
  <c r="V19" i="49"/>
  <c r="V23" i="49"/>
  <c r="V27" i="49"/>
  <c r="H12" i="48"/>
  <c r="W34" i="49" l="1"/>
  <c r="P4" i="49" s="1"/>
  <c r="P6" i="49" s="1"/>
  <c r="V34" i="49"/>
  <c r="H11" i="48"/>
  <c r="H7" i="48"/>
  <c r="J7" i="48" s="1"/>
  <c r="W7" i="48" s="1"/>
  <c r="H6" i="48"/>
  <c r="J33" i="48"/>
  <c r="V33" i="48" s="1"/>
  <c r="J32" i="48"/>
  <c r="J31" i="48"/>
  <c r="J30" i="48"/>
  <c r="J29" i="48"/>
  <c r="J28" i="48"/>
  <c r="W28" i="48" s="1"/>
  <c r="J27" i="48"/>
  <c r="W27" i="48" s="1"/>
  <c r="J26" i="48"/>
  <c r="W26" i="48" s="1"/>
  <c r="J25" i="48"/>
  <c r="V25" i="48" s="1"/>
  <c r="J24" i="48"/>
  <c r="W24" i="48" s="1"/>
  <c r="J23" i="48"/>
  <c r="W23" i="48" s="1"/>
  <c r="J22" i="48"/>
  <c r="W22" i="48" s="1"/>
  <c r="J21" i="48"/>
  <c r="V21" i="48" s="1"/>
  <c r="J20" i="48"/>
  <c r="W20" i="48" s="1"/>
  <c r="J19" i="48"/>
  <c r="W19" i="48" s="1"/>
  <c r="J18" i="48"/>
  <c r="J17" i="48"/>
  <c r="W17" i="48" s="1"/>
  <c r="J16" i="48"/>
  <c r="W16" i="48" s="1"/>
  <c r="J15" i="48"/>
  <c r="V15" i="48" s="1"/>
  <c r="J14" i="48"/>
  <c r="J13" i="48"/>
  <c r="W13" i="48" s="1"/>
  <c r="J12" i="48"/>
  <c r="W12" i="48" s="1"/>
  <c r="J11" i="48"/>
  <c r="W11" i="48" s="1"/>
  <c r="J10" i="48"/>
  <c r="W10" i="48" s="1"/>
  <c r="J9" i="48"/>
  <c r="W9" i="48" s="1"/>
  <c r="J8" i="48"/>
  <c r="W8" i="48" s="1"/>
  <c r="Q6" i="48"/>
  <c r="O6" i="48"/>
  <c r="J6" i="48"/>
  <c r="W6" i="48" s="1"/>
  <c r="N4" i="48"/>
  <c r="R4" i="48" s="1"/>
  <c r="W25" i="48" l="1"/>
  <c r="W21" i="48"/>
  <c r="V28" i="48"/>
  <c r="V24" i="48"/>
  <c r="V26" i="48"/>
  <c r="V20" i="48"/>
  <c r="V22" i="48"/>
  <c r="V8" i="48"/>
  <c r="V13" i="48"/>
  <c r="W15" i="48"/>
  <c r="V16" i="48"/>
  <c r="W14" i="48"/>
  <c r="V14" i="48"/>
  <c r="W33" i="48"/>
  <c r="N6" i="48"/>
  <c r="R6" i="48" s="1"/>
  <c r="P8" i="48" s="1"/>
  <c r="V7" i="48"/>
  <c r="V9" i="48"/>
  <c r="V10" i="48"/>
  <c r="V11" i="48"/>
  <c r="V12" i="48"/>
  <c r="V17" i="48"/>
  <c r="V19" i="48"/>
  <c r="V23" i="48"/>
  <c r="V27" i="48"/>
  <c r="J34" i="48"/>
  <c r="V6" i="48"/>
  <c r="H14" i="47"/>
  <c r="H9" i="47"/>
  <c r="H6" i="47"/>
  <c r="V34" i="48" l="1"/>
  <c r="W34" i="48"/>
  <c r="P4" i="48" s="1"/>
  <c r="P6" i="48" s="1"/>
  <c r="J13" i="47"/>
  <c r="W13" i="47" s="1"/>
  <c r="H12" i="47"/>
  <c r="J12" i="47" s="1"/>
  <c r="W12" i="47" s="1"/>
  <c r="H11" i="47"/>
  <c r="H10" i="47"/>
  <c r="J6" i="47"/>
  <c r="J33" i="47"/>
  <c r="W33" i="47" s="1"/>
  <c r="J32" i="47"/>
  <c r="J31" i="47"/>
  <c r="J30" i="47"/>
  <c r="J29" i="47"/>
  <c r="J28" i="47"/>
  <c r="W28" i="47" s="1"/>
  <c r="J27" i="47"/>
  <c r="W27" i="47" s="1"/>
  <c r="J26" i="47"/>
  <c r="W26" i="47" s="1"/>
  <c r="J25" i="47"/>
  <c r="W25" i="47" s="1"/>
  <c r="J24" i="47"/>
  <c r="W24" i="47" s="1"/>
  <c r="J23" i="47"/>
  <c r="W23" i="47" s="1"/>
  <c r="J22" i="47"/>
  <c r="W22" i="47" s="1"/>
  <c r="J21" i="47"/>
  <c r="W21" i="47" s="1"/>
  <c r="J20" i="47"/>
  <c r="J19" i="47"/>
  <c r="J18" i="47"/>
  <c r="J17" i="47"/>
  <c r="W17" i="47" s="1"/>
  <c r="J16" i="47"/>
  <c r="W16" i="47" s="1"/>
  <c r="J15" i="47"/>
  <c r="V15" i="47" s="1"/>
  <c r="J14" i="47"/>
  <c r="W14" i="47" s="1"/>
  <c r="J11" i="47"/>
  <c r="W11" i="47" s="1"/>
  <c r="J10" i="47"/>
  <c r="W10" i="47" s="1"/>
  <c r="J9" i="47"/>
  <c r="W9" i="47" s="1"/>
  <c r="J8" i="47"/>
  <c r="J7" i="47"/>
  <c r="Q6" i="47"/>
  <c r="O6" i="47"/>
  <c r="N4" i="47"/>
  <c r="N6" i="47" s="1"/>
  <c r="V27" i="47" l="1"/>
  <c r="V26" i="47"/>
  <c r="V14" i="47"/>
  <c r="V12" i="47"/>
  <c r="V10" i="47"/>
  <c r="W15" i="47"/>
  <c r="V22" i="47"/>
  <c r="V23" i="47"/>
  <c r="V9" i="47"/>
  <c r="V11" i="47"/>
  <c r="V13" i="47"/>
  <c r="R4" i="47"/>
  <c r="V7" i="47"/>
  <c r="W7" i="47"/>
  <c r="W6" i="47"/>
  <c r="J34" i="47"/>
  <c r="V6" i="47"/>
  <c r="W20" i="47"/>
  <c r="V20" i="47"/>
  <c r="V8" i="47"/>
  <c r="W8" i="47"/>
  <c r="R6" i="47"/>
  <c r="P8" i="47" s="1"/>
  <c r="W19" i="47"/>
  <c r="V19" i="47"/>
  <c r="V16" i="47"/>
  <c r="V17" i="47"/>
  <c r="V21" i="47"/>
  <c r="V25" i="47"/>
  <c r="V33" i="47"/>
  <c r="V24" i="47"/>
  <c r="V28" i="47"/>
  <c r="J18" i="46"/>
  <c r="W34" i="47" l="1"/>
  <c r="P4" i="47" s="1"/>
  <c r="P6" i="47" s="1"/>
  <c r="V34" i="47"/>
  <c r="H20" i="46"/>
  <c r="H19" i="46"/>
  <c r="H17" i="46"/>
  <c r="H13" i="46" l="1"/>
  <c r="H12" i="46"/>
  <c r="H11" i="46"/>
  <c r="J11" i="46" s="1"/>
  <c r="H10" i="46"/>
  <c r="J10" i="46" s="1"/>
  <c r="H9" i="46"/>
  <c r="H8" i="46"/>
  <c r="H7" i="46"/>
  <c r="J7" i="46" s="1"/>
  <c r="W7" i="46" s="1"/>
  <c r="H6" i="46"/>
  <c r="J6" i="46" s="1"/>
  <c r="W6" i="46" s="1"/>
  <c r="J33" i="46"/>
  <c r="V33" i="46" s="1"/>
  <c r="J32" i="46"/>
  <c r="J31" i="46"/>
  <c r="J30" i="46"/>
  <c r="J29" i="46"/>
  <c r="J28" i="46"/>
  <c r="W28" i="46" s="1"/>
  <c r="J27" i="46"/>
  <c r="W27" i="46" s="1"/>
  <c r="J26" i="46"/>
  <c r="W26" i="46" s="1"/>
  <c r="J25" i="46"/>
  <c r="V25" i="46" s="1"/>
  <c r="J24" i="46"/>
  <c r="W24" i="46" s="1"/>
  <c r="J23" i="46"/>
  <c r="W23" i="46" s="1"/>
  <c r="J22" i="46"/>
  <c r="W22" i="46" s="1"/>
  <c r="J21" i="46"/>
  <c r="V21" i="46" s="1"/>
  <c r="J20" i="46"/>
  <c r="W20" i="46" s="1"/>
  <c r="J19" i="46"/>
  <c r="W19" i="46" s="1"/>
  <c r="J17" i="46"/>
  <c r="W17" i="46" s="1"/>
  <c r="J16" i="46"/>
  <c r="J15" i="46"/>
  <c r="V15" i="46" s="1"/>
  <c r="J14" i="46"/>
  <c r="J13" i="46"/>
  <c r="W13" i="46" s="1"/>
  <c r="J12" i="46"/>
  <c r="V12" i="46" s="1"/>
  <c r="J9" i="46"/>
  <c r="J8" i="46"/>
  <c r="W8" i="46" s="1"/>
  <c r="Q6" i="46"/>
  <c r="N4" i="46"/>
  <c r="N6" i="46" s="1"/>
  <c r="W25" i="46" l="1"/>
  <c r="V28" i="46"/>
  <c r="V20" i="46"/>
  <c r="W33" i="46"/>
  <c r="W21" i="46"/>
  <c r="V24" i="46"/>
  <c r="V6" i="46"/>
  <c r="V13" i="46"/>
  <c r="W15" i="46"/>
  <c r="W9" i="46"/>
  <c r="V9" i="46"/>
  <c r="W11" i="46"/>
  <c r="V11" i="46"/>
  <c r="V16" i="46"/>
  <c r="W16" i="46"/>
  <c r="W10" i="46"/>
  <c r="V10" i="46"/>
  <c r="W14" i="46"/>
  <c r="V14" i="46"/>
  <c r="V7" i="46"/>
  <c r="V19" i="46"/>
  <c r="V23" i="46"/>
  <c r="V27" i="46"/>
  <c r="J34" i="46"/>
  <c r="V8" i="46"/>
  <c r="W12" i="46"/>
  <c r="V17" i="46"/>
  <c r="V22" i="46"/>
  <c r="V26" i="46"/>
  <c r="H16" i="45"/>
  <c r="H14" i="45"/>
  <c r="H11" i="45"/>
  <c r="H10" i="45"/>
  <c r="H9" i="45"/>
  <c r="H8" i="45"/>
  <c r="H7" i="45"/>
  <c r="V34" i="46" l="1"/>
  <c r="O6" i="46" s="1"/>
  <c r="R6" i="46" s="1"/>
  <c r="P8" i="46" s="1"/>
  <c r="W34" i="46"/>
  <c r="P4" i="46" s="1"/>
  <c r="P6" i="46" s="1"/>
  <c r="J32" i="45"/>
  <c r="V32" i="45" s="1"/>
  <c r="J31" i="45"/>
  <c r="J30" i="45"/>
  <c r="J29" i="45"/>
  <c r="J28" i="45"/>
  <c r="J27" i="45"/>
  <c r="W27" i="45" s="1"/>
  <c r="J26" i="45"/>
  <c r="W26" i="45" s="1"/>
  <c r="J25" i="45"/>
  <c r="W25" i="45" s="1"/>
  <c r="J24" i="45"/>
  <c r="V24" i="45" s="1"/>
  <c r="J23" i="45"/>
  <c r="W23" i="45" s="1"/>
  <c r="J22" i="45"/>
  <c r="W22" i="45" s="1"/>
  <c r="J21" i="45"/>
  <c r="W21" i="45" s="1"/>
  <c r="J20" i="45"/>
  <c r="V20" i="45" s="1"/>
  <c r="J19" i="45"/>
  <c r="W19" i="45" s="1"/>
  <c r="J18" i="45"/>
  <c r="W18" i="45" s="1"/>
  <c r="J17" i="45"/>
  <c r="W17" i="45" s="1"/>
  <c r="J16" i="45"/>
  <c r="J15" i="45"/>
  <c r="V15" i="45" s="1"/>
  <c r="J14" i="45"/>
  <c r="W14" i="45" s="1"/>
  <c r="J13" i="45"/>
  <c r="W13" i="45" s="1"/>
  <c r="J12" i="45"/>
  <c r="W12" i="45" s="1"/>
  <c r="J11" i="45"/>
  <c r="W11" i="45" s="1"/>
  <c r="J10" i="45"/>
  <c r="V10" i="45" s="1"/>
  <c r="J9" i="45"/>
  <c r="V9" i="45" s="1"/>
  <c r="J8" i="45"/>
  <c r="W8" i="45" s="1"/>
  <c r="J7" i="45"/>
  <c r="W7" i="45" s="1"/>
  <c r="Q6" i="45"/>
  <c r="J6" i="45"/>
  <c r="V6" i="45" s="1"/>
  <c r="N4" i="45"/>
  <c r="N6" i="45" s="1"/>
  <c r="R4" i="46" l="1"/>
  <c r="W24" i="45"/>
  <c r="V27" i="45"/>
  <c r="V23" i="45"/>
  <c r="W32" i="45"/>
  <c r="V14" i="45"/>
  <c r="W15" i="45"/>
  <c r="W9" i="45"/>
  <c r="V8" i="45"/>
  <c r="V7" i="45"/>
  <c r="W10" i="45"/>
  <c r="V19" i="45"/>
  <c r="J33" i="45"/>
  <c r="W20" i="45"/>
  <c r="V16" i="45"/>
  <c r="W16" i="45"/>
  <c r="W6" i="45"/>
  <c r="V11" i="45"/>
  <c r="V12" i="45"/>
  <c r="V13" i="45"/>
  <c r="V18" i="45"/>
  <c r="V22" i="45"/>
  <c r="V26" i="45"/>
  <c r="V17" i="45"/>
  <c r="V21" i="45"/>
  <c r="V25" i="45"/>
  <c r="H16" i="44"/>
  <c r="V33" i="45" l="1"/>
  <c r="O4" i="45" s="1"/>
  <c r="R4" i="45" s="1"/>
  <c r="W33" i="45"/>
  <c r="P4" i="45" s="1"/>
  <c r="P6" i="45" s="1"/>
  <c r="H13" i="44"/>
  <c r="H12" i="44"/>
  <c r="J12" i="44" s="1"/>
  <c r="W12" i="44" s="1"/>
  <c r="H7" i="44"/>
  <c r="J32" i="44"/>
  <c r="W32" i="44" s="1"/>
  <c r="J31" i="44"/>
  <c r="J30" i="44"/>
  <c r="J29" i="44"/>
  <c r="J28" i="44"/>
  <c r="J27" i="44"/>
  <c r="W27" i="44" s="1"/>
  <c r="W26" i="44"/>
  <c r="J26" i="44"/>
  <c r="V26" i="44" s="1"/>
  <c r="J25" i="44"/>
  <c r="W25" i="44" s="1"/>
  <c r="J24" i="44"/>
  <c r="W24" i="44" s="1"/>
  <c r="J23" i="44"/>
  <c r="W23" i="44" s="1"/>
  <c r="J22" i="44"/>
  <c r="V22" i="44" s="1"/>
  <c r="J21" i="44"/>
  <c r="W21" i="44" s="1"/>
  <c r="J20" i="44"/>
  <c r="W20" i="44" s="1"/>
  <c r="J19" i="44"/>
  <c r="W19" i="44" s="1"/>
  <c r="J18" i="44"/>
  <c r="J17" i="44"/>
  <c r="J16" i="44"/>
  <c r="V16" i="44" s="1"/>
  <c r="J15" i="44"/>
  <c r="J14" i="44"/>
  <c r="J13" i="44"/>
  <c r="J11" i="44"/>
  <c r="V11" i="44" s="1"/>
  <c r="J10" i="44"/>
  <c r="V10" i="44" s="1"/>
  <c r="J9" i="44"/>
  <c r="J8" i="44"/>
  <c r="W8" i="44" s="1"/>
  <c r="J7" i="44"/>
  <c r="V7" i="44" s="1"/>
  <c r="Q6" i="44"/>
  <c r="J6" i="44"/>
  <c r="N4" i="44"/>
  <c r="N6" i="44" s="1"/>
  <c r="V20" i="44" l="1"/>
  <c r="W22" i="44"/>
  <c r="V25" i="44"/>
  <c r="V24" i="44"/>
  <c r="V32" i="44"/>
  <c r="O6" i="45"/>
  <c r="R6" i="45" s="1"/>
  <c r="P8" i="45" s="1"/>
  <c r="V21" i="44"/>
  <c r="V12" i="44"/>
  <c r="W16" i="44"/>
  <c r="W18" i="44"/>
  <c r="V18" i="44"/>
  <c r="J33" i="44"/>
  <c r="V13" i="44"/>
  <c r="W13" i="44"/>
  <c r="V15" i="44"/>
  <c r="W15" i="44"/>
  <c r="W9" i="44"/>
  <c r="V9" i="44"/>
  <c r="V14" i="44"/>
  <c r="W14" i="44"/>
  <c r="W17" i="44"/>
  <c r="V17" i="44"/>
  <c r="V6" i="44"/>
  <c r="W7" i="44"/>
  <c r="V8" i="44"/>
  <c r="W10" i="44"/>
  <c r="W11" i="44"/>
  <c r="V19" i="44"/>
  <c r="V23" i="44"/>
  <c r="V27" i="44"/>
  <c r="W6" i="44"/>
  <c r="H18" i="43"/>
  <c r="H17" i="43"/>
  <c r="H15" i="43"/>
  <c r="H14" i="43"/>
  <c r="W33" i="44" l="1"/>
  <c r="P4" i="44" s="1"/>
  <c r="P6" i="44" s="1"/>
  <c r="V33" i="44"/>
  <c r="O4" i="44" s="1"/>
  <c r="H13" i="43"/>
  <c r="O6" i="44" l="1"/>
  <c r="R6" i="44" s="1"/>
  <c r="P8" i="44" s="1"/>
  <c r="R4" i="44"/>
  <c r="H11" i="43"/>
  <c r="H9" i="43"/>
  <c r="J9" i="43" s="1"/>
  <c r="W9" i="43" s="1"/>
  <c r="H8" i="43"/>
  <c r="H6" i="43"/>
  <c r="J32" i="43"/>
  <c r="V32" i="43" s="1"/>
  <c r="J31" i="43"/>
  <c r="J30" i="43"/>
  <c r="J29" i="43"/>
  <c r="J28" i="43"/>
  <c r="J27" i="43"/>
  <c r="W27" i="43" s="1"/>
  <c r="J26" i="43"/>
  <c r="W26" i="43" s="1"/>
  <c r="J25" i="43"/>
  <c r="W25" i="43" s="1"/>
  <c r="J24" i="43"/>
  <c r="V24" i="43" s="1"/>
  <c r="J23" i="43"/>
  <c r="W23" i="43" s="1"/>
  <c r="J22" i="43"/>
  <c r="W22" i="43" s="1"/>
  <c r="J21" i="43"/>
  <c r="W21" i="43" s="1"/>
  <c r="J20" i="43"/>
  <c r="J19" i="43"/>
  <c r="J18" i="43"/>
  <c r="V18" i="43" s="1"/>
  <c r="J17" i="43"/>
  <c r="W17" i="43" s="1"/>
  <c r="J16" i="43"/>
  <c r="W16" i="43" s="1"/>
  <c r="J15" i="43"/>
  <c r="W15" i="43" s="1"/>
  <c r="J14" i="43"/>
  <c r="W14" i="43" s="1"/>
  <c r="J13" i="43"/>
  <c r="W13" i="43" s="1"/>
  <c r="J12" i="43"/>
  <c r="W12" i="43" s="1"/>
  <c r="J11" i="43"/>
  <c r="W11" i="43" s="1"/>
  <c r="J10" i="43"/>
  <c r="W10" i="43" s="1"/>
  <c r="J8" i="43"/>
  <c r="W8" i="43" s="1"/>
  <c r="J7" i="43"/>
  <c r="W7" i="43" s="1"/>
  <c r="Q6" i="43"/>
  <c r="J6" i="43"/>
  <c r="N4" i="43"/>
  <c r="N6" i="43" s="1"/>
  <c r="W24" i="43" l="1"/>
  <c r="V27" i="43"/>
  <c r="W32" i="43"/>
  <c r="V23" i="43"/>
  <c r="V17" i="43"/>
  <c r="V8" i="43"/>
  <c r="W18" i="43"/>
  <c r="V19" i="43"/>
  <c r="W19" i="43"/>
  <c r="V20" i="43"/>
  <c r="W20" i="43"/>
  <c r="W6" i="43"/>
  <c r="J33" i="43"/>
  <c r="V6" i="43"/>
  <c r="V7" i="43"/>
  <c r="V9" i="43"/>
  <c r="V10" i="43"/>
  <c r="V11" i="43"/>
  <c r="V12" i="43"/>
  <c r="V13" i="43"/>
  <c r="V14" i="43"/>
  <c r="V15" i="43"/>
  <c r="V16" i="43"/>
  <c r="V22" i="43"/>
  <c r="V26" i="43"/>
  <c r="V21" i="43"/>
  <c r="V25" i="43"/>
  <c r="H20" i="42"/>
  <c r="V33" i="43" l="1"/>
  <c r="O4" i="43" s="1"/>
  <c r="W33" i="43"/>
  <c r="P4" i="43" s="1"/>
  <c r="P6" i="43" s="1"/>
  <c r="H19" i="42"/>
  <c r="H16" i="42"/>
  <c r="O6" i="43" l="1"/>
  <c r="R6" i="43" s="1"/>
  <c r="P8" i="43" s="1"/>
  <c r="R4" i="43"/>
  <c r="H15" i="42"/>
  <c r="H14" i="42"/>
  <c r="J14" i="42" s="1"/>
  <c r="W14" i="42" s="1"/>
  <c r="H13" i="42"/>
  <c r="H12" i="42"/>
  <c r="H11" i="42"/>
  <c r="H10" i="42"/>
  <c r="J10" i="42" s="1"/>
  <c r="W10" i="42" s="1"/>
  <c r="H9" i="42"/>
  <c r="H7" i="42"/>
  <c r="H6" i="42"/>
  <c r="V32" i="42"/>
  <c r="J32" i="42"/>
  <c r="W32" i="42" s="1"/>
  <c r="J31" i="42"/>
  <c r="J30" i="42"/>
  <c r="J29" i="42"/>
  <c r="J28" i="42"/>
  <c r="J27" i="42"/>
  <c r="W27" i="42" s="1"/>
  <c r="J26" i="42"/>
  <c r="W26" i="42" s="1"/>
  <c r="J25" i="42"/>
  <c r="V25" i="42" s="1"/>
  <c r="J24" i="42"/>
  <c r="W24" i="42" s="1"/>
  <c r="J23" i="42"/>
  <c r="W23" i="42" s="1"/>
  <c r="J22" i="42"/>
  <c r="W22" i="42" s="1"/>
  <c r="W21" i="42"/>
  <c r="J21" i="42"/>
  <c r="V21" i="42" s="1"/>
  <c r="J20" i="42"/>
  <c r="W20" i="42" s="1"/>
  <c r="J19" i="42"/>
  <c r="W19" i="42" s="1"/>
  <c r="J18" i="42"/>
  <c r="W18" i="42" s="1"/>
  <c r="J17" i="42"/>
  <c r="V17" i="42" s="1"/>
  <c r="J16" i="42"/>
  <c r="J15" i="42"/>
  <c r="J13" i="42"/>
  <c r="W13" i="42" s="1"/>
  <c r="J12" i="42"/>
  <c r="V12" i="42" s="1"/>
  <c r="J11" i="42"/>
  <c r="V11" i="42" s="1"/>
  <c r="J9" i="42"/>
  <c r="W9" i="42" s="1"/>
  <c r="J8" i="42"/>
  <c r="W8" i="42" s="1"/>
  <c r="J7" i="42"/>
  <c r="W7" i="42" s="1"/>
  <c r="Q6" i="42"/>
  <c r="J6" i="42"/>
  <c r="V6" i="42" s="1"/>
  <c r="N4" i="42"/>
  <c r="N6" i="42" s="1"/>
  <c r="V24" i="42" l="1"/>
  <c r="V26" i="42"/>
  <c r="V20" i="42"/>
  <c r="V22" i="42"/>
  <c r="W25" i="42"/>
  <c r="W12" i="42"/>
  <c r="V18" i="42"/>
  <c r="W17" i="42"/>
  <c r="W6" i="42"/>
  <c r="W11" i="42"/>
  <c r="V7" i="42"/>
  <c r="V10" i="42"/>
  <c r="V14" i="42"/>
  <c r="V15" i="42"/>
  <c r="W15" i="42"/>
  <c r="J33" i="42"/>
  <c r="V16" i="42"/>
  <c r="W16" i="42"/>
  <c r="V9" i="42"/>
  <c r="V13" i="42"/>
  <c r="V19" i="42"/>
  <c r="V23" i="42"/>
  <c r="V27" i="42"/>
  <c r="V8" i="42"/>
  <c r="H16" i="41"/>
  <c r="H15" i="41"/>
  <c r="W32" i="41"/>
  <c r="V32" i="41"/>
  <c r="J32" i="41"/>
  <c r="J31" i="41"/>
  <c r="J30" i="41"/>
  <c r="J29" i="41"/>
  <c r="J28" i="41"/>
  <c r="J27" i="41"/>
  <c r="W27" i="41" s="1"/>
  <c r="J26" i="41"/>
  <c r="W26" i="41" s="1"/>
  <c r="J25" i="41"/>
  <c r="W25" i="41" s="1"/>
  <c r="J24" i="41"/>
  <c r="W24" i="41" s="1"/>
  <c r="J23" i="41"/>
  <c r="V23" i="41" s="1"/>
  <c r="J22" i="41"/>
  <c r="V22" i="41" s="1"/>
  <c r="J21" i="41"/>
  <c r="W21" i="41" s="1"/>
  <c r="J20" i="41"/>
  <c r="W20" i="41" s="1"/>
  <c r="J19" i="41"/>
  <c r="V19" i="41" s="1"/>
  <c r="W18" i="41"/>
  <c r="J18" i="41"/>
  <c r="V18" i="41" s="1"/>
  <c r="J17" i="41"/>
  <c r="W17" i="41" s="1"/>
  <c r="J16" i="41"/>
  <c r="J15" i="41"/>
  <c r="W15" i="41" s="1"/>
  <c r="J14" i="41"/>
  <c r="W14" i="41" s="1"/>
  <c r="J13" i="41"/>
  <c r="V13" i="41" s="1"/>
  <c r="J12" i="41"/>
  <c r="W12" i="41" s="1"/>
  <c r="J11" i="41"/>
  <c r="W11" i="41" s="1"/>
  <c r="J10" i="41"/>
  <c r="W10" i="41" s="1"/>
  <c r="J9" i="41"/>
  <c r="W9" i="41" s="1"/>
  <c r="J8" i="41"/>
  <c r="W8" i="41" s="1"/>
  <c r="J7" i="41"/>
  <c r="W7" i="41" s="1"/>
  <c r="Q6" i="41"/>
  <c r="J6" i="41"/>
  <c r="W6" i="41" s="1"/>
  <c r="N4" i="41"/>
  <c r="N6" i="41" s="1"/>
  <c r="W22" i="41" l="1"/>
  <c r="W23" i="41"/>
  <c r="W19" i="41"/>
  <c r="V33" i="42"/>
  <c r="O4" i="42" s="1"/>
  <c r="R4" i="42" s="1"/>
  <c r="W33" i="42"/>
  <c r="P4" i="42" s="1"/>
  <c r="P6" i="42" s="1"/>
  <c r="W13" i="41"/>
  <c r="V12" i="41"/>
  <c r="V11" i="41"/>
  <c r="V21" i="41"/>
  <c r="V25" i="41"/>
  <c r="V10" i="41"/>
  <c r="V14" i="41"/>
  <c r="V20" i="41"/>
  <c r="V24" i="41"/>
  <c r="W16" i="41"/>
  <c r="V16" i="41"/>
  <c r="V7" i="41"/>
  <c r="V9" i="41"/>
  <c r="V17" i="41"/>
  <c r="V27" i="41"/>
  <c r="V6" i="41"/>
  <c r="V8" i="41"/>
  <c r="V15" i="41"/>
  <c r="V26" i="41"/>
  <c r="J33" i="41"/>
  <c r="H23" i="40"/>
  <c r="H21" i="40"/>
  <c r="O6" i="42" l="1"/>
  <c r="R6" i="42" s="1"/>
  <c r="P8" i="42" s="1"/>
  <c r="W33" i="41"/>
  <c r="P4" i="41" s="1"/>
  <c r="P6" i="41" s="1"/>
  <c r="V33" i="41"/>
  <c r="O4" i="41" s="1"/>
  <c r="O6" i="41" s="1"/>
  <c r="R6" i="41" s="1"/>
  <c r="P8" i="41" s="1"/>
  <c r="H24" i="40"/>
  <c r="H22" i="40"/>
  <c r="H20" i="40"/>
  <c r="H19" i="40"/>
  <c r="H16" i="40"/>
  <c r="R4" i="41" l="1"/>
  <c r="H13" i="40"/>
  <c r="J13" i="40" s="1"/>
  <c r="H12" i="40"/>
  <c r="J12" i="40" s="1"/>
  <c r="H11" i="40"/>
  <c r="J11" i="40" s="1"/>
  <c r="W11" i="40" s="1"/>
  <c r="H8" i="40"/>
  <c r="H6" i="40"/>
  <c r="J6" i="40" s="1"/>
  <c r="N4" i="40"/>
  <c r="N6" i="40" s="1"/>
  <c r="J32" i="40"/>
  <c r="W32" i="40" s="1"/>
  <c r="J31" i="40"/>
  <c r="J30" i="40"/>
  <c r="J29" i="40"/>
  <c r="J28" i="40"/>
  <c r="J27" i="40"/>
  <c r="V27" i="40" s="1"/>
  <c r="J26" i="40"/>
  <c r="W26" i="40" s="1"/>
  <c r="J25" i="40"/>
  <c r="W25" i="40" s="1"/>
  <c r="J24" i="40"/>
  <c r="J23" i="40"/>
  <c r="W23" i="40" s="1"/>
  <c r="J22" i="40"/>
  <c r="J21" i="40"/>
  <c r="J20" i="40"/>
  <c r="V20" i="40" s="1"/>
  <c r="J19" i="40"/>
  <c r="W19" i="40" s="1"/>
  <c r="J18" i="40"/>
  <c r="W18" i="40" s="1"/>
  <c r="J17" i="40"/>
  <c r="W17" i="40" s="1"/>
  <c r="J16" i="40"/>
  <c r="W16" i="40" s="1"/>
  <c r="J15" i="40"/>
  <c r="W15" i="40" s="1"/>
  <c r="J14" i="40"/>
  <c r="W14" i="40" s="1"/>
  <c r="J10" i="40"/>
  <c r="V10" i="40" s="1"/>
  <c r="J9" i="40"/>
  <c r="J8" i="40"/>
  <c r="J7" i="40"/>
  <c r="Q6" i="40"/>
  <c r="V26" i="40" l="1"/>
  <c r="W27" i="40"/>
  <c r="W10" i="40"/>
  <c r="V19" i="40"/>
  <c r="W20" i="40"/>
  <c r="W21" i="40"/>
  <c r="V21" i="40"/>
  <c r="W8" i="40"/>
  <c r="V8" i="40"/>
  <c r="W12" i="40"/>
  <c r="V12" i="40"/>
  <c r="W13" i="40"/>
  <c r="V13" i="40"/>
  <c r="W22" i="40"/>
  <c r="V22" i="40"/>
  <c r="W24" i="40"/>
  <c r="V24" i="40"/>
  <c r="V9" i="40"/>
  <c r="W9" i="40"/>
  <c r="J33" i="40"/>
  <c r="V6" i="40"/>
  <c r="W6" i="40"/>
  <c r="W7" i="40"/>
  <c r="V7" i="40"/>
  <c r="V14" i="40"/>
  <c r="V15" i="40"/>
  <c r="V16" i="40"/>
  <c r="V17" i="40"/>
  <c r="V18" i="40"/>
  <c r="V25" i="40"/>
  <c r="V11" i="40"/>
  <c r="V23" i="40"/>
  <c r="V32" i="40"/>
  <c r="H24" i="39"/>
  <c r="H22" i="39"/>
  <c r="V33" i="40" l="1"/>
  <c r="O4" i="40" s="1"/>
  <c r="W33" i="40"/>
  <c r="P4" i="40" s="1"/>
  <c r="P6" i="40" s="1"/>
  <c r="H21" i="39"/>
  <c r="O6" i="40" l="1"/>
  <c r="R6" i="40" s="1"/>
  <c r="P8" i="40" s="1"/>
  <c r="R4" i="40"/>
  <c r="H12" i="39"/>
  <c r="H18" i="39"/>
  <c r="H17" i="39"/>
  <c r="H16" i="39"/>
  <c r="H15" i="39"/>
  <c r="H13" i="39"/>
  <c r="H9" i="39" l="1"/>
  <c r="H8" i="39"/>
  <c r="H7" i="39"/>
  <c r="H6" i="39"/>
  <c r="J6" i="39" s="1"/>
  <c r="J32" i="39"/>
  <c r="W32" i="39" s="1"/>
  <c r="J31" i="39"/>
  <c r="J30" i="39"/>
  <c r="J29" i="39"/>
  <c r="J28" i="39"/>
  <c r="J27" i="39"/>
  <c r="V27" i="39" s="1"/>
  <c r="J26" i="39"/>
  <c r="W26" i="39" s="1"/>
  <c r="J25" i="39"/>
  <c r="V25" i="39" s="1"/>
  <c r="J24" i="39"/>
  <c r="W24" i="39" s="1"/>
  <c r="J23" i="39"/>
  <c r="V23" i="39" s="1"/>
  <c r="J22" i="39"/>
  <c r="W22" i="39" s="1"/>
  <c r="J21" i="39"/>
  <c r="V21" i="39" s="1"/>
  <c r="J20" i="39"/>
  <c r="W20" i="39" s="1"/>
  <c r="J19" i="39"/>
  <c r="V19" i="39" s="1"/>
  <c r="J18" i="39"/>
  <c r="W18" i="39" s="1"/>
  <c r="J17" i="39"/>
  <c r="V17" i="39" s="1"/>
  <c r="J16" i="39"/>
  <c r="V16" i="39" s="1"/>
  <c r="J15" i="39"/>
  <c r="W15" i="39" s="1"/>
  <c r="J14" i="39"/>
  <c r="V14" i="39" s="1"/>
  <c r="J13" i="39"/>
  <c r="W13" i="39" s="1"/>
  <c r="J12" i="39"/>
  <c r="V12" i="39" s="1"/>
  <c r="J11" i="39"/>
  <c r="J10" i="39"/>
  <c r="J9" i="39"/>
  <c r="W9" i="39" s="1"/>
  <c r="J8" i="39"/>
  <c r="W8" i="39" s="1"/>
  <c r="J7" i="39"/>
  <c r="V7" i="39" s="1"/>
  <c r="Q6" i="39"/>
  <c r="O6" i="39"/>
  <c r="N6" i="39"/>
  <c r="R4" i="39"/>
  <c r="V26" i="39" l="1"/>
  <c r="W23" i="39"/>
  <c r="V22" i="39"/>
  <c r="R6" i="39"/>
  <c r="P8" i="39" s="1"/>
  <c r="W27" i="39"/>
  <c r="W19" i="39"/>
  <c r="V18" i="39"/>
  <c r="V9" i="39"/>
  <c r="V8" i="39"/>
  <c r="W12" i="39"/>
  <c r="J33" i="39"/>
  <c r="W6" i="39"/>
  <c r="V6" i="39"/>
  <c r="W10" i="39"/>
  <c r="V10" i="39"/>
  <c r="W11" i="39"/>
  <c r="V11" i="39"/>
  <c r="V15" i="39"/>
  <c r="W7" i="39"/>
  <c r="V13" i="39"/>
  <c r="W14" i="39"/>
  <c r="W16" i="39"/>
  <c r="W17" i="39"/>
  <c r="V20" i="39"/>
  <c r="W21" i="39"/>
  <c r="V24" i="39"/>
  <c r="W25" i="39"/>
  <c r="V32" i="39"/>
  <c r="H17" i="38"/>
  <c r="H16" i="38"/>
  <c r="V33" i="39" l="1"/>
  <c r="W33" i="39"/>
  <c r="P4" i="39" s="1"/>
  <c r="P6" i="39" s="1"/>
  <c r="H15" i="38"/>
  <c r="J15" i="38" s="1"/>
  <c r="W15" i="38" s="1"/>
  <c r="H11" i="38"/>
  <c r="J11" i="38" s="1"/>
  <c r="H10" i="38"/>
  <c r="H7" i="38"/>
  <c r="H6" i="38"/>
  <c r="J32" i="38"/>
  <c r="W32" i="38" s="1"/>
  <c r="J31" i="38"/>
  <c r="J30" i="38"/>
  <c r="J29" i="38"/>
  <c r="J28" i="38"/>
  <c r="J27" i="38"/>
  <c r="W27" i="38" s="1"/>
  <c r="J26" i="38"/>
  <c r="W26" i="38" s="1"/>
  <c r="J25" i="38"/>
  <c r="V25" i="38" s="1"/>
  <c r="J24" i="38"/>
  <c r="W24" i="38" s="1"/>
  <c r="J23" i="38"/>
  <c r="V23" i="38" s="1"/>
  <c r="J22" i="38"/>
  <c r="W22" i="38" s="1"/>
  <c r="J21" i="38"/>
  <c r="V21" i="38" s="1"/>
  <c r="J20" i="38"/>
  <c r="V20" i="38" s="1"/>
  <c r="J19" i="38"/>
  <c r="W19" i="38" s="1"/>
  <c r="J18" i="38"/>
  <c r="J17" i="38"/>
  <c r="J16" i="38"/>
  <c r="V16" i="38" s="1"/>
  <c r="J14" i="38"/>
  <c r="V14" i="38" s="1"/>
  <c r="J13" i="38"/>
  <c r="V13" i="38" s="1"/>
  <c r="J12" i="38"/>
  <c r="W12" i="38" s="1"/>
  <c r="J10" i="38"/>
  <c r="J9" i="38"/>
  <c r="J8" i="38"/>
  <c r="J7" i="38"/>
  <c r="Q6" i="38"/>
  <c r="O6" i="38"/>
  <c r="N6" i="38"/>
  <c r="J6" i="38"/>
  <c r="R4" i="38"/>
  <c r="V15" i="38" l="1"/>
  <c r="W23" i="38"/>
  <c r="V26" i="38"/>
  <c r="V22" i="38"/>
  <c r="R6" i="38"/>
  <c r="P8" i="38" s="1"/>
  <c r="J33" i="38"/>
  <c r="W16" i="38"/>
  <c r="W7" i="38"/>
  <c r="V7" i="38"/>
  <c r="V8" i="38"/>
  <c r="W8" i="38"/>
  <c r="W9" i="38"/>
  <c r="V9" i="38"/>
  <c r="W17" i="38"/>
  <c r="V17" i="38"/>
  <c r="W11" i="38"/>
  <c r="V11" i="38"/>
  <c r="W10" i="38"/>
  <c r="V10" i="38"/>
  <c r="W18" i="38"/>
  <c r="V18" i="38"/>
  <c r="V6" i="38"/>
  <c r="V12" i="38"/>
  <c r="W13" i="38"/>
  <c r="W14" i="38"/>
  <c r="V19" i="38"/>
  <c r="W20" i="38"/>
  <c r="W21" i="38"/>
  <c r="V24" i="38"/>
  <c r="W25" i="38"/>
  <c r="V32" i="38"/>
  <c r="W6" i="38"/>
  <c r="V27" i="38"/>
  <c r="H21" i="37"/>
  <c r="V33" i="38" l="1"/>
  <c r="W33" i="38"/>
  <c r="P4" i="38" s="1"/>
  <c r="P6" i="38" s="1"/>
  <c r="H18" i="37"/>
  <c r="H17" i="37" l="1"/>
  <c r="H7" i="37" l="1"/>
  <c r="H14" i="37" l="1"/>
  <c r="H11" i="37"/>
  <c r="H10" i="37"/>
  <c r="H9" i="37"/>
  <c r="J9" i="37" s="1"/>
  <c r="W9" i="37" s="1"/>
  <c r="H8" i="37"/>
  <c r="H6" i="37"/>
  <c r="J32" i="37"/>
  <c r="W32" i="37" s="1"/>
  <c r="J31" i="37"/>
  <c r="J30" i="37"/>
  <c r="J29" i="37"/>
  <c r="J28" i="37"/>
  <c r="J27" i="37"/>
  <c r="W27" i="37" s="1"/>
  <c r="J26" i="37"/>
  <c r="W26" i="37" s="1"/>
  <c r="J25" i="37"/>
  <c r="W25" i="37" s="1"/>
  <c r="J24" i="37"/>
  <c r="W24" i="37" s="1"/>
  <c r="J23" i="37"/>
  <c r="V23" i="37" s="1"/>
  <c r="J22" i="37"/>
  <c r="W22" i="37" s="1"/>
  <c r="J21" i="37"/>
  <c r="W21" i="37" s="1"/>
  <c r="J20" i="37"/>
  <c r="W20" i="37" s="1"/>
  <c r="J19" i="37"/>
  <c r="W19" i="37" s="1"/>
  <c r="J18" i="37"/>
  <c r="W18" i="37" s="1"/>
  <c r="J17" i="37"/>
  <c r="W17" i="37" s="1"/>
  <c r="J16" i="37"/>
  <c r="W16" i="37" s="1"/>
  <c r="J15" i="37"/>
  <c r="W15" i="37" s="1"/>
  <c r="J14" i="37"/>
  <c r="W14" i="37" s="1"/>
  <c r="J13" i="37"/>
  <c r="W13" i="37" s="1"/>
  <c r="J12" i="37"/>
  <c r="W12" i="37" s="1"/>
  <c r="J11" i="37"/>
  <c r="W11" i="37" s="1"/>
  <c r="J10" i="37"/>
  <c r="W10" i="37" s="1"/>
  <c r="J8" i="37"/>
  <c r="J7" i="37"/>
  <c r="O6" i="37"/>
  <c r="J6" i="37"/>
  <c r="W6" i="37" s="1"/>
  <c r="R4" i="37"/>
  <c r="V32" i="37" l="1"/>
  <c r="V16" i="37"/>
  <c r="V26" i="37"/>
  <c r="W23" i="37"/>
  <c r="V18" i="37"/>
  <c r="V27" i="37"/>
  <c r="V14" i="37"/>
  <c r="V10" i="37"/>
  <c r="V9" i="37"/>
  <c r="V13" i="37"/>
  <c r="V15" i="37"/>
  <c r="V20" i="37"/>
  <c r="V22" i="37"/>
  <c r="V19" i="37"/>
  <c r="V24" i="37"/>
  <c r="V8" i="37"/>
  <c r="W8" i="37"/>
  <c r="W7" i="37"/>
  <c r="V7" i="37"/>
  <c r="N6" i="37"/>
  <c r="R6" i="37" s="1"/>
  <c r="P8" i="37" s="1"/>
  <c r="V11" i="37"/>
  <c r="V12" i="37"/>
  <c r="V17" i="37"/>
  <c r="V21" i="37"/>
  <c r="V25" i="37"/>
  <c r="V6" i="37"/>
  <c r="J33" i="37"/>
  <c r="W33" i="37" l="1"/>
  <c r="P4" i="37" s="1"/>
  <c r="P6" i="37" s="1"/>
  <c r="Q6" i="37"/>
  <c r="V33" i="37"/>
  <c r="H14" i="36"/>
  <c r="J14" i="36" s="1"/>
  <c r="W14" i="36" s="1"/>
  <c r="H12" i="36"/>
  <c r="I9" i="36"/>
  <c r="H8" i="36"/>
  <c r="H7" i="36"/>
  <c r="J7" i="36" s="1"/>
  <c r="V7" i="36" s="1"/>
  <c r="J24" i="36"/>
  <c r="V24" i="36" s="1"/>
  <c r="J23" i="36"/>
  <c r="V23" i="36" s="1"/>
  <c r="J22" i="36"/>
  <c r="W22" i="36" s="1"/>
  <c r="J21" i="36"/>
  <c r="W21" i="36" s="1"/>
  <c r="J20" i="36"/>
  <c r="V20" i="36" s="1"/>
  <c r="J19" i="36"/>
  <c r="V19" i="36" s="1"/>
  <c r="J18" i="36"/>
  <c r="W18" i="36" s="1"/>
  <c r="J17" i="36"/>
  <c r="W17" i="36" s="1"/>
  <c r="J16" i="36"/>
  <c r="V16" i="36" s="1"/>
  <c r="J15" i="36"/>
  <c r="V15" i="36" s="1"/>
  <c r="J13" i="36"/>
  <c r="W13" i="36" s="1"/>
  <c r="J12" i="36"/>
  <c r="J11" i="36"/>
  <c r="J10" i="36"/>
  <c r="V10" i="36" s="1"/>
  <c r="J9" i="36"/>
  <c r="J8" i="36"/>
  <c r="J6" i="36"/>
  <c r="N4" i="36"/>
  <c r="N6" i="36" s="1"/>
  <c r="W23" i="36" l="1"/>
  <c r="W19" i="36"/>
  <c r="V18" i="36"/>
  <c r="V22" i="36"/>
  <c r="W16" i="36"/>
  <c r="W20" i="36"/>
  <c r="W24" i="36"/>
  <c r="W15" i="36"/>
  <c r="W7" i="36"/>
  <c r="W10" i="36"/>
  <c r="V14" i="36"/>
  <c r="W8" i="36"/>
  <c r="V8" i="36"/>
  <c r="V11" i="36"/>
  <c r="W11" i="36"/>
  <c r="J25" i="36"/>
  <c r="W6" i="36"/>
  <c r="V6" i="36"/>
  <c r="W9" i="36"/>
  <c r="V9" i="36"/>
  <c r="V12" i="36"/>
  <c r="W12" i="36"/>
  <c r="V13" i="36"/>
  <c r="V17" i="36"/>
  <c r="V21" i="36"/>
  <c r="J32" i="35"/>
  <c r="V32" i="35" s="1"/>
  <c r="J31" i="35"/>
  <c r="J30" i="35"/>
  <c r="J29" i="35"/>
  <c r="J28" i="35"/>
  <c r="J27" i="35"/>
  <c r="W27" i="35" s="1"/>
  <c r="J26" i="35"/>
  <c r="W26" i="35" s="1"/>
  <c r="J25" i="35"/>
  <c r="W25" i="35" s="1"/>
  <c r="J24" i="35"/>
  <c r="W24" i="35" s="1"/>
  <c r="J23" i="35"/>
  <c r="W23" i="35" s="1"/>
  <c r="J22" i="35"/>
  <c r="W22" i="35" s="1"/>
  <c r="W21" i="35"/>
  <c r="V21" i="35"/>
  <c r="J21" i="35"/>
  <c r="J20" i="35"/>
  <c r="W20" i="35" s="1"/>
  <c r="J19" i="35"/>
  <c r="W19" i="35" s="1"/>
  <c r="J18" i="35"/>
  <c r="W18" i="35" s="1"/>
  <c r="J17" i="35"/>
  <c r="W17" i="35" s="1"/>
  <c r="J16" i="35"/>
  <c r="W16" i="35" s="1"/>
  <c r="J15" i="35"/>
  <c r="W15" i="35" s="1"/>
  <c r="J14" i="35"/>
  <c r="V14" i="35" s="1"/>
  <c r="W13" i="35"/>
  <c r="W12" i="35"/>
  <c r="W11" i="35"/>
  <c r="W10" i="35"/>
  <c r="W8" i="35"/>
  <c r="W7" i="35"/>
  <c r="N4" i="35"/>
  <c r="N6" i="35" s="1"/>
  <c r="H12" i="34"/>
  <c r="H11" i="34"/>
  <c r="H9" i="34"/>
  <c r="H8" i="34"/>
  <c r="V17" i="35" l="1"/>
  <c r="V25" i="35"/>
  <c r="V20" i="35"/>
  <c r="V24" i="35"/>
  <c r="W32" i="35"/>
  <c r="V25" i="36"/>
  <c r="W25" i="36"/>
  <c r="P4" i="36" s="1"/>
  <c r="P6" i="36" s="1"/>
  <c r="V13" i="35"/>
  <c r="W14" i="35"/>
  <c r="J33" i="35"/>
  <c r="W9" i="35"/>
  <c r="V9" i="35"/>
  <c r="V7" i="35"/>
  <c r="V10" i="35"/>
  <c r="V11" i="35"/>
  <c r="V12" i="35"/>
  <c r="V16" i="35"/>
  <c r="V6" i="35"/>
  <c r="V8" i="35"/>
  <c r="V15" i="35"/>
  <c r="V19" i="35"/>
  <c r="V23" i="35"/>
  <c r="V27" i="35"/>
  <c r="W6" i="35"/>
  <c r="V18" i="35"/>
  <c r="V22" i="35"/>
  <c r="V26" i="35"/>
  <c r="O6" i="36" l="1"/>
  <c r="R6" i="36" s="1"/>
  <c r="P8" i="36" s="1"/>
  <c r="R4" i="36"/>
  <c r="Q4" i="36"/>
  <c r="Q6" i="36" s="1"/>
  <c r="W33" i="35"/>
  <c r="P4" i="35" s="1"/>
  <c r="P6" i="35" s="1"/>
  <c r="V33" i="35"/>
  <c r="O4" i="35" s="1"/>
  <c r="O6" i="35" l="1"/>
  <c r="R6" i="35" s="1"/>
  <c r="P8" i="35" s="1"/>
  <c r="R4" i="35"/>
  <c r="Q4" i="35"/>
  <c r="Q6" i="35" s="1"/>
  <c r="H6" i="34" l="1"/>
  <c r="J8" i="34" l="1"/>
  <c r="J6" i="34"/>
  <c r="J32" i="34"/>
  <c r="W32" i="34" s="1"/>
  <c r="J31" i="34"/>
  <c r="J30" i="34"/>
  <c r="J29" i="34"/>
  <c r="J28" i="34"/>
  <c r="J27" i="34"/>
  <c r="W27" i="34" s="1"/>
  <c r="J26" i="34"/>
  <c r="V26" i="34" s="1"/>
  <c r="J25" i="34"/>
  <c r="W25" i="34" s="1"/>
  <c r="J24" i="34"/>
  <c r="W24" i="34" s="1"/>
  <c r="J23" i="34"/>
  <c r="W23" i="34" s="1"/>
  <c r="J22" i="34"/>
  <c r="V22" i="34" s="1"/>
  <c r="J21" i="34"/>
  <c r="W21" i="34" s="1"/>
  <c r="J20" i="34"/>
  <c r="W20" i="34" s="1"/>
  <c r="J19" i="34"/>
  <c r="W19" i="34" s="1"/>
  <c r="J18" i="34"/>
  <c r="V18" i="34" s="1"/>
  <c r="J17" i="34"/>
  <c r="W17" i="34" s="1"/>
  <c r="J16" i="34"/>
  <c r="V16" i="34" s="1"/>
  <c r="J15" i="34"/>
  <c r="W15" i="34" s="1"/>
  <c r="J14" i="34"/>
  <c r="V14" i="34" s="1"/>
  <c r="J13" i="34"/>
  <c r="J12" i="34"/>
  <c r="J11" i="34"/>
  <c r="V11" i="34" s="1"/>
  <c r="J10" i="34"/>
  <c r="W10" i="34" s="1"/>
  <c r="J9" i="34"/>
  <c r="W9" i="34" s="1"/>
  <c r="J7" i="34"/>
  <c r="N4" i="34"/>
  <c r="N6" i="34" s="1"/>
  <c r="V25" i="34" l="1"/>
  <c r="W22" i="34"/>
  <c r="W18" i="34"/>
  <c r="V21" i="34"/>
  <c r="V17" i="34"/>
  <c r="W26" i="34"/>
  <c r="W14" i="34"/>
  <c r="W11" i="34"/>
  <c r="V6" i="34"/>
  <c r="W6" i="34"/>
  <c r="J33" i="34"/>
  <c r="V8" i="34"/>
  <c r="W8" i="34"/>
  <c r="V12" i="34"/>
  <c r="W12" i="34"/>
  <c r="W7" i="34"/>
  <c r="V7" i="34"/>
  <c r="W13" i="34"/>
  <c r="V13" i="34"/>
  <c r="V9" i="34"/>
  <c r="V10" i="34"/>
  <c r="V20" i="34"/>
  <c r="V24" i="34"/>
  <c r="V32" i="34"/>
  <c r="V15" i="34"/>
  <c r="W16" i="34"/>
  <c r="V19" i="34"/>
  <c r="V23" i="34"/>
  <c r="V27" i="34"/>
  <c r="H13" i="33"/>
  <c r="J13" i="33" s="1"/>
  <c r="W13" i="33" s="1"/>
  <c r="H12" i="33"/>
  <c r="H10" i="33"/>
  <c r="J10" i="33" s="1"/>
  <c r="H9" i="33"/>
  <c r="H8" i="33"/>
  <c r="H7" i="33"/>
  <c r="J32" i="33"/>
  <c r="V32" i="33" s="1"/>
  <c r="J31" i="33"/>
  <c r="J30" i="33"/>
  <c r="J29" i="33"/>
  <c r="J28" i="33"/>
  <c r="J27" i="33"/>
  <c r="W27" i="33" s="1"/>
  <c r="J26" i="33"/>
  <c r="W26" i="33" s="1"/>
  <c r="J25" i="33"/>
  <c r="W25" i="33" s="1"/>
  <c r="J24" i="33"/>
  <c r="V24" i="33" s="1"/>
  <c r="J23" i="33"/>
  <c r="W23" i="33" s="1"/>
  <c r="J22" i="33"/>
  <c r="W22" i="33" s="1"/>
  <c r="J21" i="33"/>
  <c r="W21" i="33" s="1"/>
  <c r="J20" i="33"/>
  <c r="V20" i="33" s="1"/>
  <c r="J19" i="33"/>
  <c r="W19" i="33" s="1"/>
  <c r="J18" i="33"/>
  <c r="W18" i="33" s="1"/>
  <c r="J17" i="33"/>
  <c r="W17" i="33" s="1"/>
  <c r="J16" i="33"/>
  <c r="V16" i="33" s="1"/>
  <c r="J15" i="33"/>
  <c r="W15" i="33" s="1"/>
  <c r="J14" i="33"/>
  <c r="W14" i="33" s="1"/>
  <c r="J12" i="33"/>
  <c r="V12" i="33" s="1"/>
  <c r="J11" i="33"/>
  <c r="J9" i="33"/>
  <c r="J8" i="33"/>
  <c r="W8" i="33" s="1"/>
  <c r="J7" i="33"/>
  <c r="J6" i="33"/>
  <c r="V6" i="33" s="1"/>
  <c r="N4" i="33"/>
  <c r="N6" i="33" s="1"/>
  <c r="W20" i="33" l="1"/>
  <c r="V27" i="33"/>
  <c r="V23" i="33"/>
  <c r="W32" i="33"/>
  <c r="W16" i="33"/>
  <c r="V25" i="33"/>
  <c r="V19" i="33"/>
  <c r="V21" i="33"/>
  <c r="V17" i="33"/>
  <c r="W24" i="33"/>
  <c r="W33" i="34"/>
  <c r="P4" i="34" s="1"/>
  <c r="P6" i="34" s="1"/>
  <c r="V33" i="34"/>
  <c r="O4" i="34" s="1"/>
  <c r="R4" i="34" s="1"/>
  <c r="V15" i="33"/>
  <c r="V13" i="33"/>
  <c r="V8" i="33"/>
  <c r="W12" i="33"/>
  <c r="W10" i="33"/>
  <c r="V10" i="33"/>
  <c r="V7" i="33"/>
  <c r="W7" i="33"/>
  <c r="J33" i="33"/>
  <c r="V11" i="33"/>
  <c r="W11" i="33"/>
  <c r="V9" i="33"/>
  <c r="W9" i="33"/>
  <c r="W6" i="33"/>
  <c r="V14" i="33"/>
  <c r="V18" i="33"/>
  <c r="V22" i="33"/>
  <c r="V26" i="33"/>
  <c r="Q4" i="34" l="1"/>
  <c r="Q6" i="34" s="1"/>
  <c r="O6" i="34"/>
  <c r="R6" i="34" s="1"/>
  <c r="P8" i="34" s="1"/>
  <c r="V33" i="33"/>
  <c r="O4" i="33" s="1"/>
  <c r="O6" i="33" s="1"/>
  <c r="R6" i="33" s="1"/>
  <c r="P8" i="33" s="1"/>
  <c r="W33" i="33"/>
  <c r="P4" i="33" s="1"/>
  <c r="P6" i="33" s="1"/>
  <c r="R4" i="33" l="1"/>
  <c r="Q4" i="33"/>
  <c r="Q6" i="33" s="1"/>
  <c r="H9" i="32" l="1"/>
  <c r="H7" i="32"/>
  <c r="J7" i="32" s="1"/>
  <c r="W7" i="32" s="1"/>
  <c r="H11" i="32"/>
  <c r="J11" i="32" s="1"/>
  <c r="W11" i="32" s="1"/>
  <c r="H10" i="32"/>
  <c r="J10" i="32" s="1"/>
  <c r="W10" i="32" s="1"/>
  <c r="J9" i="32"/>
  <c r="W9" i="32" s="1"/>
  <c r="H6" i="32"/>
  <c r="J32" i="32"/>
  <c r="V32" i="32" s="1"/>
  <c r="J31" i="32"/>
  <c r="J30" i="32"/>
  <c r="J29" i="32"/>
  <c r="J28" i="32"/>
  <c r="J27" i="32"/>
  <c r="W27" i="32" s="1"/>
  <c r="J26" i="32"/>
  <c r="W26" i="32" s="1"/>
  <c r="J25" i="32"/>
  <c r="V25" i="32" s="1"/>
  <c r="J24" i="32"/>
  <c r="V24" i="32" s="1"/>
  <c r="J23" i="32"/>
  <c r="W23" i="32" s="1"/>
  <c r="J22" i="32"/>
  <c r="W22" i="32" s="1"/>
  <c r="J21" i="32"/>
  <c r="V21" i="32" s="1"/>
  <c r="J20" i="32"/>
  <c r="W20" i="32" s="1"/>
  <c r="J19" i="32"/>
  <c r="W19" i="32" s="1"/>
  <c r="J18" i="32"/>
  <c r="W18" i="32" s="1"/>
  <c r="W17" i="32"/>
  <c r="J17" i="32"/>
  <c r="V17" i="32" s="1"/>
  <c r="J16" i="32"/>
  <c r="V16" i="32" s="1"/>
  <c r="J15" i="32"/>
  <c r="W15" i="32" s="1"/>
  <c r="J14" i="32"/>
  <c r="W14" i="32" s="1"/>
  <c r="J13" i="32"/>
  <c r="W13" i="32" s="1"/>
  <c r="J12" i="32"/>
  <c r="V12" i="32" s="1"/>
  <c r="J8" i="32"/>
  <c r="W8" i="32" s="1"/>
  <c r="J6" i="32"/>
  <c r="N4" i="32"/>
  <c r="N6" i="32" s="1"/>
  <c r="W21" i="32" l="1"/>
  <c r="W25" i="32"/>
  <c r="V18" i="32"/>
  <c r="V22" i="32"/>
  <c r="V26" i="32"/>
  <c r="V14" i="32"/>
  <c r="W12" i="32"/>
  <c r="V8" i="32"/>
  <c r="J33" i="32"/>
  <c r="V7" i="32"/>
  <c r="V6" i="32"/>
  <c r="V9" i="32"/>
  <c r="V13" i="32"/>
  <c r="V11" i="32"/>
  <c r="V20" i="32"/>
  <c r="W6" i="32"/>
  <c r="V10" i="32"/>
  <c r="V15" i="32"/>
  <c r="W16" i="32"/>
  <c r="V19" i="32"/>
  <c r="V23" i="32"/>
  <c r="W24" i="32"/>
  <c r="V27" i="32"/>
  <c r="W32" i="32"/>
  <c r="H13" i="31"/>
  <c r="V33" i="32" l="1"/>
  <c r="O4" i="32" s="1"/>
  <c r="R4" i="32" s="1"/>
  <c r="W33" i="32"/>
  <c r="P4" i="32" s="1"/>
  <c r="P6" i="32" s="1"/>
  <c r="J32" i="31"/>
  <c r="V32" i="31" s="1"/>
  <c r="J31" i="31"/>
  <c r="J30" i="31"/>
  <c r="J29" i="31"/>
  <c r="J28" i="31"/>
  <c r="J27" i="31"/>
  <c r="W27" i="31" s="1"/>
  <c r="J26" i="31"/>
  <c r="W26" i="31" s="1"/>
  <c r="J25" i="31"/>
  <c r="W25" i="31" s="1"/>
  <c r="J24" i="31"/>
  <c r="V24" i="31" s="1"/>
  <c r="J23" i="31"/>
  <c r="W23" i="31" s="1"/>
  <c r="J22" i="31"/>
  <c r="W22" i="31" s="1"/>
  <c r="J21" i="31"/>
  <c r="W21" i="31" s="1"/>
  <c r="J20" i="31"/>
  <c r="V20" i="31" s="1"/>
  <c r="J19" i="31"/>
  <c r="W19" i="31" s="1"/>
  <c r="J18" i="31"/>
  <c r="W18" i="31" s="1"/>
  <c r="J17" i="31"/>
  <c r="W17" i="31" s="1"/>
  <c r="J16" i="31"/>
  <c r="V16" i="31" s="1"/>
  <c r="J15" i="31"/>
  <c r="W15" i="31" s="1"/>
  <c r="J14" i="31"/>
  <c r="W14" i="31" s="1"/>
  <c r="J13" i="31"/>
  <c r="W13" i="31" s="1"/>
  <c r="J12" i="31"/>
  <c r="V12" i="31" s="1"/>
  <c r="J11" i="31"/>
  <c r="W11" i="31" s="1"/>
  <c r="J10" i="31"/>
  <c r="W10" i="31" s="1"/>
  <c r="J9" i="31"/>
  <c r="W9" i="31" s="1"/>
  <c r="J8" i="31"/>
  <c r="V8" i="31" s="1"/>
  <c r="J7" i="31"/>
  <c r="V7" i="31" s="1"/>
  <c r="J6" i="31"/>
  <c r="V6" i="31" s="1"/>
  <c r="N4" i="31"/>
  <c r="N6" i="31" s="1"/>
  <c r="J32" i="30"/>
  <c r="W32" i="30" s="1"/>
  <c r="J31" i="30"/>
  <c r="J30" i="30"/>
  <c r="J29" i="30"/>
  <c r="J28" i="30"/>
  <c r="J27" i="30"/>
  <c r="V27" i="30" s="1"/>
  <c r="J26" i="30"/>
  <c r="V26" i="30" s="1"/>
  <c r="J25" i="30"/>
  <c r="W25" i="30" s="1"/>
  <c r="J24" i="30"/>
  <c r="W24" i="30" s="1"/>
  <c r="J23" i="30"/>
  <c r="V23" i="30" s="1"/>
  <c r="J22" i="30"/>
  <c r="V22" i="30" s="1"/>
  <c r="J21" i="30"/>
  <c r="W21" i="30" s="1"/>
  <c r="J20" i="30"/>
  <c r="W20" i="30" s="1"/>
  <c r="J19" i="30"/>
  <c r="V19" i="30" s="1"/>
  <c r="J18" i="30"/>
  <c r="V18" i="30" s="1"/>
  <c r="W17" i="30"/>
  <c r="V17" i="30"/>
  <c r="J17" i="30"/>
  <c r="J16" i="30"/>
  <c r="W16" i="30" s="1"/>
  <c r="J15" i="30"/>
  <c r="V15" i="30" s="1"/>
  <c r="J14" i="30"/>
  <c r="V14" i="30" s="1"/>
  <c r="J13" i="30"/>
  <c r="W13" i="30" s="1"/>
  <c r="J12" i="30"/>
  <c r="W12" i="30" s="1"/>
  <c r="J11" i="30"/>
  <c r="V11" i="30" s="1"/>
  <c r="V10" i="30"/>
  <c r="J10" i="30"/>
  <c r="W10" i="30" s="1"/>
  <c r="J9" i="30"/>
  <c r="W9" i="30" s="1"/>
  <c r="J8" i="30"/>
  <c r="W8" i="30" s="1"/>
  <c r="J7" i="30"/>
  <c r="W7" i="30" s="1"/>
  <c r="J6" i="30"/>
  <c r="V6" i="30" s="1"/>
  <c r="N4" i="30"/>
  <c r="N6" i="30" s="1"/>
  <c r="J32" i="29"/>
  <c r="W32" i="29" s="1"/>
  <c r="J31" i="29"/>
  <c r="J30" i="29"/>
  <c r="J29" i="29"/>
  <c r="J28" i="29"/>
  <c r="J27" i="29"/>
  <c r="W27" i="29" s="1"/>
  <c r="J26" i="29"/>
  <c r="V26" i="29" s="1"/>
  <c r="J25" i="29"/>
  <c r="V25" i="29" s="1"/>
  <c r="J24" i="29"/>
  <c r="V24" i="29" s="1"/>
  <c r="J23" i="29"/>
  <c r="W23" i="29" s="1"/>
  <c r="J22" i="29"/>
  <c r="V22" i="29" s="1"/>
  <c r="J21" i="29"/>
  <c r="W21" i="29" s="1"/>
  <c r="W20" i="29"/>
  <c r="J20" i="29"/>
  <c r="V20" i="29" s="1"/>
  <c r="J19" i="29"/>
  <c r="W19" i="29" s="1"/>
  <c r="J18" i="29"/>
  <c r="V18" i="29" s="1"/>
  <c r="J17" i="29"/>
  <c r="W17" i="29" s="1"/>
  <c r="J16" i="29"/>
  <c r="W16" i="29" s="1"/>
  <c r="J15" i="29"/>
  <c r="W15" i="29" s="1"/>
  <c r="J14" i="29"/>
  <c r="V14" i="29" s="1"/>
  <c r="J13" i="29"/>
  <c r="V13" i="29" s="1"/>
  <c r="J12" i="29"/>
  <c r="W12" i="29" s="1"/>
  <c r="J11" i="29"/>
  <c r="W11" i="29" s="1"/>
  <c r="J10" i="29"/>
  <c r="V10" i="29" s="1"/>
  <c r="J9" i="29"/>
  <c r="V9" i="29" s="1"/>
  <c r="J8" i="29"/>
  <c r="V8" i="29" s="1"/>
  <c r="J7" i="29"/>
  <c r="W7" i="29" s="1"/>
  <c r="J6" i="29"/>
  <c r="N4" i="29"/>
  <c r="N6" i="29" s="1"/>
  <c r="J32" i="28"/>
  <c r="W32" i="28" s="1"/>
  <c r="J31" i="28"/>
  <c r="J30" i="28"/>
  <c r="J29" i="28"/>
  <c r="J28" i="28"/>
  <c r="J27" i="28"/>
  <c r="V27" i="28" s="1"/>
  <c r="J26" i="28"/>
  <c r="V26" i="28" s="1"/>
  <c r="J25" i="28"/>
  <c r="W25" i="28" s="1"/>
  <c r="J24" i="28"/>
  <c r="W24" i="28" s="1"/>
  <c r="J23" i="28"/>
  <c r="W23" i="28" s="1"/>
  <c r="J22" i="28"/>
  <c r="V22" i="28" s="1"/>
  <c r="J21" i="28"/>
  <c r="W21" i="28" s="1"/>
  <c r="J20" i="28"/>
  <c r="W20" i="28" s="1"/>
  <c r="J19" i="28"/>
  <c r="W19" i="28" s="1"/>
  <c r="J18" i="28"/>
  <c r="V18" i="28" s="1"/>
  <c r="J17" i="28"/>
  <c r="V17" i="28" s="1"/>
  <c r="J16" i="28"/>
  <c r="W16" i="28" s="1"/>
  <c r="J15" i="28"/>
  <c r="W15" i="28" s="1"/>
  <c r="J14" i="28"/>
  <c r="V14" i="28" s="1"/>
  <c r="J13" i="28"/>
  <c r="W13" i="28" s="1"/>
  <c r="W12" i="28"/>
  <c r="J12" i="28"/>
  <c r="V12" i="28" s="1"/>
  <c r="J11" i="28"/>
  <c r="W11" i="28" s="1"/>
  <c r="J10" i="28"/>
  <c r="V10" i="28" s="1"/>
  <c r="J9" i="28"/>
  <c r="V9" i="28" s="1"/>
  <c r="J8" i="28"/>
  <c r="V8" i="28" s="1"/>
  <c r="J7" i="28"/>
  <c r="W7" i="28" s="1"/>
  <c r="J6" i="28"/>
  <c r="N4" i="28"/>
  <c r="N6" i="28" s="1"/>
  <c r="J32" i="27"/>
  <c r="W32" i="27" s="1"/>
  <c r="J31" i="27"/>
  <c r="J30" i="27"/>
  <c r="J29" i="27"/>
  <c r="J28" i="27"/>
  <c r="J27" i="27"/>
  <c r="V27" i="27" s="1"/>
  <c r="J26" i="27"/>
  <c r="W26" i="27" s="1"/>
  <c r="J25" i="27"/>
  <c r="V25" i="27" s="1"/>
  <c r="J24" i="27"/>
  <c r="W24" i="27" s="1"/>
  <c r="J23" i="27"/>
  <c r="V23" i="27" s="1"/>
  <c r="J22" i="27"/>
  <c r="W22" i="27" s="1"/>
  <c r="J21" i="27"/>
  <c r="V21" i="27" s="1"/>
  <c r="J20" i="27"/>
  <c r="W20" i="27" s="1"/>
  <c r="J19" i="27"/>
  <c r="V19" i="27" s="1"/>
  <c r="J18" i="27"/>
  <c r="W18" i="27" s="1"/>
  <c r="J17" i="27"/>
  <c r="V17" i="27" s="1"/>
  <c r="J16" i="27"/>
  <c r="W16" i="27" s="1"/>
  <c r="J15" i="27"/>
  <c r="V15" i="27" s="1"/>
  <c r="J14" i="27"/>
  <c r="V14" i="27" s="1"/>
  <c r="J13" i="27"/>
  <c r="W13" i="27" s="1"/>
  <c r="J12" i="27"/>
  <c r="W12" i="27" s="1"/>
  <c r="J11" i="27"/>
  <c r="V11" i="27" s="1"/>
  <c r="J10" i="27"/>
  <c r="V10" i="27" s="1"/>
  <c r="J9" i="27"/>
  <c r="V9" i="27" s="1"/>
  <c r="J8" i="27"/>
  <c r="W8" i="27" s="1"/>
  <c r="J7" i="27"/>
  <c r="W7" i="27" s="1"/>
  <c r="J6" i="27"/>
  <c r="V6" i="27" s="1"/>
  <c r="N4" i="27"/>
  <c r="N6" i="27" s="1"/>
  <c r="V16" i="28" l="1"/>
  <c r="V24" i="28"/>
  <c r="W25" i="29"/>
  <c r="V21" i="30"/>
  <c r="V25" i="31"/>
  <c r="W16" i="31"/>
  <c r="V23" i="31"/>
  <c r="V13" i="27"/>
  <c r="V18" i="27"/>
  <c r="W21" i="27"/>
  <c r="V26" i="27"/>
  <c r="V32" i="29"/>
  <c r="W32" i="31"/>
  <c r="V13" i="28"/>
  <c r="V15" i="28"/>
  <c r="W17" i="28"/>
  <c r="V23" i="28"/>
  <c r="V32" i="28"/>
  <c r="V17" i="29"/>
  <c r="W22" i="30"/>
  <c r="V25" i="30"/>
  <c r="V15" i="31"/>
  <c r="V17" i="31"/>
  <c r="W24" i="31"/>
  <c r="W13" i="29"/>
  <c r="V19" i="29"/>
  <c r="W24" i="29"/>
  <c r="V19" i="31"/>
  <c r="V21" i="31"/>
  <c r="V12" i="27"/>
  <c r="W17" i="27"/>
  <c r="V22" i="27"/>
  <c r="W25" i="27"/>
  <c r="V21" i="28"/>
  <c r="V27" i="29"/>
  <c r="W18" i="30"/>
  <c r="W20" i="31"/>
  <c r="V27" i="31"/>
  <c r="O6" i="32"/>
  <c r="R6" i="32" s="1"/>
  <c r="P8" i="32" s="1"/>
  <c r="Q4" i="32"/>
  <c r="Q6" i="32" s="1"/>
  <c r="W7" i="31"/>
  <c r="V9" i="31"/>
  <c r="W8" i="31"/>
  <c r="V11" i="31"/>
  <c r="V13" i="31"/>
  <c r="J33" i="31"/>
  <c r="W12" i="31"/>
  <c r="W6" i="31"/>
  <c r="V10" i="31"/>
  <c r="V14" i="31"/>
  <c r="V18" i="31"/>
  <c r="V22" i="31"/>
  <c r="V26" i="31"/>
  <c r="V8" i="27"/>
  <c r="V11" i="28"/>
  <c r="V20" i="28"/>
  <c r="V25" i="28"/>
  <c r="V12" i="29"/>
  <c r="V16" i="29"/>
  <c r="V21" i="29"/>
  <c r="V23" i="29"/>
  <c r="V16" i="30"/>
  <c r="V20" i="30"/>
  <c r="W26" i="30"/>
  <c r="W14" i="30"/>
  <c r="W14" i="27"/>
  <c r="V19" i="28"/>
  <c r="V7" i="29"/>
  <c r="V15" i="29"/>
  <c r="V13" i="30"/>
  <c r="V12" i="30"/>
  <c r="V9" i="30"/>
  <c r="V7" i="30"/>
  <c r="V8" i="30"/>
  <c r="V24" i="30"/>
  <c r="V32" i="30"/>
  <c r="W6" i="30"/>
  <c r="W11" i="30"/>
  <c r="W15" i="30"/>
  <c r="W19" i="30"/>
  <c r="W23" i="30"/>
  <c r="W27" i="30"/>
  <c r="J33" i="30"/>
  <c r="W8" i="29"/>
  <c r="J33" i="29"/>
  <c r="W9" i="29"/>
  <c r="V6" i="29"/>
  <c r="V11" i="29"/>
  <c r="W10" i="29"/>
  <c r="W14" i="29"/>
  <c r="W18" i="29"/>
  <c r="W22" i="29"/>
  <c r="W26" i="29"/>
  <c r="W6" i="29"/>
  <c r="W8" i="28"/>
  <c r="W9" i="28"/>
  <c r="J33" i="28"/>
  <c r="V7" i="28"/>
  <c r="V6" i="28"/>
  <c r="W22" i="28"/>
  <c r="W10" i="28"/>
  <c r="W14" i="28"/>
  <c r="W18" i="28"/>
  <c r="W26" i="28"/>
  <c r="W6" i="28"/>
  <c r="W27" i="28"/>
  <c r="W9" i="27"/>
  <c r="V7" i="27"/>
  <c r="W10" i="27"/>
  <c r="V16" i="27"/>
  <c r="V20" i="27"/>
  <c r="V24" i="27"/>
  <c r="V32" i="27"/>
  <c r="W6" i="27"/>
  <c r="W11" i="27"/>
  <c r="W15" i="27"/>
  <c r="W19" i="27"/>
  <c r="W23" i="27"/>
  <c r="W27" i="27"/>
  <c r="J33" i="27"/>
  <c r="V33" i="31" l="1"/>
  <c r="O4" i="31" s="1"/>
  <c r="O6" i="31" s="1"/>
  <c r="R6" i="31" s="1"/>
  <c r="P8" i="31" s="1"/>
  <c r="W33" i="31"/>
  <c r="P4" i="31" s="1"/>
  <c r="P6" i="31" s="1"/>
  <c r="V33" i="27"/>
  <c r="O4" i="27" s="1"/>
  <c r="O6" i="27" s="1"/>
  <c r="R6" i="27" s="1"/>
  <c r="P8" i="27" s="1"/>
  <c r="W33" i="30"/>
  <c r="P4" i="30" s="1"/>
  <c r="P6" i="30" s="1"/>
  <c r="V33" i="30"/>
  <c r="O4" i="30" s="1"/>
  <c r="V33" i="29"/>
  <c r="O4" i="29" s="1"/>
  <c r="O6" i="29" s="1"/>
  <c r="R6" i="29" s="1"/>
  <c r="P8" i="29" s="1"/>
  <c r="W33" i="29"/>
  <c r="P4" i="29" s="1"/>
  <c r="P6" i="29" s="1"/>
  <c r="V33" i="28"/>
  <c r="O4" i="28" s="1"/>
  <c r="W33" i="28"/>
  <c r="P4" i="28" s="1"/>
  <c r="P6" i="28" s="1"/>
  <c r="R4" i="27"/>
  <c r="W33" i="27"/>
  <c r="P4" i="27" s="1"/>
  <c r="P6" i="27" s="1"/>
  <c r="R4" i="31" l="1"/>
  <c r="Q4" i="31"/>
  <c r="Q6" i="31" s="1"/>
  <c r="Q4" i="30"/>
  <c r="Q6" i="30" s="1"/>
  <c r="O6" i="30"/>
  <c r="R6" i="30" s="1"/>
  <c r="P8" i="30" s="1"/>
  <c r="R4" i="30"/>
  <c r="R4" i="29"/>
  <c r="Q4" i="29"/>
  <c r="Q6" i="29" s="1"/>
  <c r="Q4" i="28"/>
  <c r="Q6" i="28" s="1"/>
  <c r="O6" i="28"/>
  <c r="R6" i="28" s="1"/>
  <c r="P8" i="28" s="1"/>
  <c r="R4" i="28"/>
  <c r="Q4" i="27"/>
  <c r="Q6" i="27" s="1"/>
  <c r="J32" i="26" l="1"/>
  <c r="W32" i="26" s="1"/>
  <c r="J31" i="26"/>
  <c r="J30" i="26"/>
  <c r="J29" i="26"/>
  <c r="J28" i="26"/>
  <c r="J27" i="26"/>
  <c r="V27" i="26" s="1"/>
  <c r="J26" i="26"/>
  <c r="V26" i="26" s="1"/>
  <c r="J25" i="26"/>
  <c r="W25" i="26" s="1"/>
  <c r="J24" i="26"/>
  <c r="W24" i="26" s="1"/>
  <c r="J23" i="26"/>
  <c r="V23" i="26" s="1"/>
  <c r="J22" i="26"/>
  <c r="V22" i="26" s="1"/>
  <c r="W21" i="26"/>
  <c r="J21" i="26"/>
  <c r="V21" i="26" s="1"/>
  <c r="J20" i="26"/>
  <c r="W20" i="26" s="1"/>
  <c r="J19" i="26"/>
  <c r="V19" i="26" s="1"/>
  <c r="J18" i="26"/>
  <c r="V18" i="26" s="1"/>
  <c r="J17" i="26"/>
  <c r="W17" i="26" s="1"/>
  <c r="J16" i="26"/>
  <c r="W16" i="26" s="1"/>
  <c r="J15" i="26"/>
  <c r="V15" i="26" s="1"/>
  <c r="J14" i="26"/>
  <c r="V14" i="26" s="1"/>
  <c r="J13" i="26"/>
  <c r="W13" i="26" s="1"/>
  <c r="J12" i="26"/>
  <c r="W12" i="26" s="1"/>
  <c r="J11" i="26"/>
  <c r="V11" i="26" s="1"/>
  <c r="J10" i="26"/>
  <c r="V10" i="26" s="1"/>
  <c r="J9" i="26"/>
  <c r="W9" i="26" s="1"/>
  <c r="J8" i="26"/>
  <c r="W8" i="26" s="1"/>
  <c r="J7" i="26"/>
  <c r="W7" i="26" s="1"/>
  <c r="J6" i="26"/>
  <c r="V6" i="26" s="1"/>
  <c r="N4" i="26"/>
  <c r="N6" i="26" s="1"/>
  <c r="J32" i="25"/>
  <c r="W32" i="25" s="1"/>
  <c r="J31" i="25"/>
  <c r="J30" i="25"/>
  <c r="J29" i="25"/>
  <c r="J28" i="25"/>
  <c r="J27" i="25"/>
  <c r="V27" i="25" s="1"/>
  <c r="J26" i="25"/>
  <c r="W26" i="25" s="1"/>
  <c r="J25" i="25"/>
  <c r="V25" i="25" s="1"/>
  <c r="J24" i="25"/>
  <c r="W24" i="25" s="1"/>
  <c r="J23" i="25"/>
  <c r="V23" i="25" s="1"/>
  <c r="J22" i="25"/>
  <c r="V22" i="25" s="1"/>
  <c r="J21" i="25"/>
  <c r="V21" i="25" s="1"/>
  <c r="V20" i="25"/>
  <c r="J20" i="25"/>
  <c r="W20" i="25" s="1"/>
  <c r="J19" i="25"/>
  <c r="V19" i="25" s="1"/>
  <c r="V18" i="25"/>
  <c r="J18" i="25"/>
  <c r="W18" i="25" s="1"/>
  <c r="J17" i="25"/>
  <c r="V17" i="25" s="1"/>
  <c r="J16" i="25"/>
  <c r="W16" i="25" s="1"/>
  <c r="J15" i="25"/>
  <c r="V15" i="25" s="1"/>
  <c r="J14" i="25"/>
  <c r="W14" i="25" s="1"/>
  <c r="J13" i="25"/>
  <c r="V13" i="25" s="1"/>
  <c r="J12" i="25"/>
  <c r="W12" i="25" s="1"/>
  <c r="J11" i="25"/>
  <c r="V11" i="25" s="1"/>
  <c r="J10" i="25"/>
  <c r="W10" i="25" s="1"/>
  <c r="J9" i="25"/>
  <c r="V9" i="25" s="1"/>
  <c r="J8" i="25"/>
  <c r="W8" i="25" s="1"/>
  <c r="J7" i="25"/>
  <c r="W7" i="25" s="1"/>
  <c r="J6" i="25"/>
  <c r="V6" i="25" s="1"/>
  <c r="N4" i="25"/>
  <c r="N6" i="25" s="1"/>
  <c r="J32" i="24"/>
  <c r="V32" i="24" s="1"/>
  <c r="J31" i="24"/>
  <c r="J30" i="24"/>
  <c r="J29" i="24"/>
  <c r="J28" i="24"/>
  <c r="J27" i="24"/>
  <c r="W27" i="24" s="1"/>
  <c r="J26" i="24"/>
  <c r="V26" i="24" s="1"/>
  <c r="J25" i="24"/>
  <c r="V25" i="24" s="1"/>
  <c r="J24" i="24"/>
  <c r="W24" i="24" s="1"/>
  <c r="J23" i="24"/>
  <c r="W23" i="24" s="1"/>
  <c r="J22" i="24"/>
  <c r="V22" i="24" s="1"/>
  <c r="J21" i="24"/>
  <c r="V21" i="24" s="1"/>
  <c r="W20" i="24"/>
  <c r="J20" i="24"/>
  <c r="V20" i="24" s="1"/>
  <c r="J19" i="24"/>
  <c r="W19" i="24" s="1"/>
  <c r="J18" i="24"/>
  <c r="V18" i="24" s="1"/>
  <c r="J17" i="24"/>
  <c r="V17" i="24" s="1"/>
  <c r="J16" i="24"/>
  <c r="W16" i="24" s="1"/>
  <c r="J15" i="24"/>
  <c r="W15" i="24" s="1"/>
  <c r="J14" i="24"/>
  <c r="W14" i="24" s="1"/>
  <c r="J13" i="24"/>
  <c r="V13" i="24" s="1"/>
  <c r="J12" i="24"/>
  <c r="V12" i="24" s="1"/>
  <c r="J11" i="24"/>
  <c r="W11" i="24" s="1"/>
  <c r="J10" i="24"/>
  <c r="W10" i="24" s="1"/>
  <c r="J9" i="24"/>
  <c r="V9" i="24" s="1"/>
  <c r="J8" i="24"/>
  <c r="W8" i="24" s="1"/>
  <c r="J7" i="24"/>
  <c r="W7" i="24" s="1"/>
  <c r="J6" i="24"/>
  <c r="V6" i="24" s="1"/>
  <c r="N4" i="24"/>
  <c r="N6" i="24" s="1"/>
  <c r="J32" i="23"/>
  <c r="W32" i="23" s="1"/>
  <c r="J31" i="23"/>
  <c r="J30" i="23"/>
  <c r="J29" i="23"/>
  <c r="J28" i="23"/>
  <c r="J27" i="23"/>
  <c r="V27" i="23" s="1"/>
  <c r="W26" i="23"/>
  <c r="J26" i="23"/>
  <c r="V26" i="23" s="1"/>
  <c r="J25" i="23"/>
  <c r="V25" i="23" s="1"/>
  <c r="J24" i="23"/>
  <c r="W24" i="23" s="1"/>
  <c r="J23" i="23"/>
  <c r="V23" i="23" s="1"/>
  <c r="J22" i="23"/>
  <c r="V22" i="23" s="1"/>
  <c r="J21" i="23"/>
  <c r="V21" i="23" s="1"/>
  <c r="J20" i="23"/>
  <c r="W20" i="23" s="1"/>
  <c r="J19" i="23"/>
  <c r="V19" i="23" s="1"/>
  <c r="J18" i="23"/>
  <c r="W18" i="23" s="1"/>
  <c r="J17" i="23"/>
  <c r="V17" i="23" s="1"/>
  <c r="J16" i="23"/>
  <c r="W16" i="23" s="1"/>
  <c r="J15" i="23"/>
  <c r="V15" i="23" s="1"/>
  <c r="J14" i="23"/>
  <c r="W14" i="23" s="1"/>
  <c r="J13" i="23"/>
  <c r="V13" i="23" s="1"/>
  <c r="J12" i="23"/>
  <c r="W12" i="23" s="1"/>
  <c r="J11" i="23"/>
  <c r="V11" i="23" s="1"/>
  <c r="J10" i="23"/>
  <c r="W10" i="23" s="1"/>
  <c r="J9" i="23"/>
  <c r="V9" i="23" s="1"/>
  <c r="J8" i="23"/>
  <c r="W8" i="23" s="1"/>
  <c r="J7" i="23"/>
  <c r="W7" i="23" s="1"/>
  <c r="J6" i="23"/>
  <c r="V6" i="23" s="1"/>
  <c r="N4" i="23"/>
  <c r="J32" i="22"/>
  <c r="W32" i="22" s="1"/>
  <c r="J31" i="22"/>
  <c r="J30" i="22"/>
  <c r="J29" i="22"/>
  <c r="J28" i="22"/>
  <c r="J27" i="22"/>
  <c r="V27" i="22" s="1"/>
  <c r="J26" i="22"/>
  <c r="V26" i="22" s="1"/>
  <c r="J25" i="22"/>
  <c r="V25" i="22" s="1"/>
  <c r="J24" i="22"/>
  <c r="W24" i="22" s="1"/>
  <c r="J23" i="22"/>
  <c r="V23" i="22" s="1"/>
  <c r="J22" i="22"/>
  <c r="W22" i="22" s="1"/>
  <c r="J21" i="22"/>
  <c r="V21" i="22" s="1"/>
  <c r="J20" i="22"/>
  <c r="W20" i="22" s="1"/>
  <c r="J19" i="22"/>
  <c r="V19" i="22" s="1"/>
  <c r="J18" i="22"/>
  <c r="W18" i="22" s="1"/>
  <c r="J17" i="22"/>
  <c r="V17" i="22" s="1"/>
  <c r="J16" i="22"/>
  <c r="W16" i="22" s="1"/>
  <c r="J15" i="22"/>
  <c r="V15" i="22" s="1"/>
  <c r="J14" i="22"/>
  <c r="V14" i="22" s="1"/>
  <c r="J13" i="22"/>
  <c r="V13" i="22" s="1"/>
  <c r="J12" i="22"/>
  <c r="W12" i="22" s="1"/>
  <c r="J11" i="22"/>
  <c r="V11" i="22" s="1"/>
  <c r="J10" i="22"/>
  <c r="V10" i="22" s="1"/>
  <c r="J9" i="22"/>
  <c r="V9" i="22" s="1"/>
  <c r="J8" i="22"/>
  <c r="W8" i="22" s="1"/>
  <c r="J7" i="22"/>
  <c r="W7" i="22" s="1"/>
  <c r="J6" i="22"/>
  <c r="V6" i="22" s="1"/>
  <c r="N4" i="22"/>
  <c r="J32" i="21"/>
  <c r="W32" i="21" s="1"/>
  <c r="J31" i="21"/>
  <c r="J30" i="21"/>
  <c r="J29" i="21"/>
  <c r="J28" i="21"/>
  <c r="J27" i="21"/>
  <c r="V27" i="21" s="1"/>
  <c r="J26" i="21"/>
  <c r="V26" i="21" s="1"/>
  <c r="J25" i="21"/>
  <c r="W25" i="21" s="1"/>
  <c r="J24" i="21"/>
  <c r="W24" i="21" s="1"/>
  <c r="J23" i="21"/>
  <c r="V23" i="21" s="1"/>
  <c r="J22" i="21"/>
  <c r="V22" i="21" s="1"/>
  <c r="V21" i="21"/>
  <c r="J21" i="21"/>
  <c r="W21" i="21" s="1"/>
  <c r="J20" i="21"/>
  <c r="W20" i="21" s="1"/>
  <c r="J19" i="21"/>
  <c r="V19" i="21" s="1"/>
  <c r="J18" i="21"/>
  <c r="V18" i="21" s="1"/>
  <c r="J17" i="21"/>
  <c r="W17" i="21" s="1"/>
  <c r="J16" i="21"/>
  <c r="W16" i="21" s="1"/>
  <c r="J15" i="21"/>
  <c r="V15" i="21" s="1"/>
  <c r="J14" i="21"/>
  <c r="V14" i="21" s="1"/>
  <c r="J13" i="21"/>
  <c r="V13" i="21" s="1"/>
  <c r="J12" i="21"/>
  <c r="W12" i="21" s="1"/>
  <c r="J11" i="21"/>
  <c r="V11" i="21" s="1"/>
  <c r="J10" i="21"/>
  <c r="V10" i="21" s="1"/>
  <c r="J9" i="21"/>
  <c r="V9" i="21" s="1"/>
  <c r="J8" i="21"/>
  <c r="V8" i="21" s="1"/>
  <c r="J7" i="21"/>
  <c r="W7" i="21" s="1"/>
  <c r="J6" i="21"/>
  <c r="V6" i="21" s="1"/>
  <c r="N4" i="21"/>
  <c r="N6" i="21" s="1"/>
  <c r="J32" i="20"/>
  <c r="W32" i="20" s="1"/>
  <c r="J31" i="20"/>
  <c r="J30" i="20"/>
  <c r="J29" i="20"/>
  <c r="J28" i="20"/>
  <c r="J27" i="20"/>
  <c r="V27" i="20" s="1"/>
  <c r="J26" i="20"/>
  <c r="V26" i="20" s="1"/>
  <c r="J25" i="20"/>
  <c r="W25" i="20" s="1"/>
  <c r="J24" i="20"/>
  <c r="W24" i="20" s="1"/>
  <c r="J23" i="20"/>
  <c r="V23" i="20" s="1"/>
  <c r="J22" i="20"/>
  <c r="V22" i="20" s="1"/>
  <c r="J21" i="20"/>
  <c r="W21" i="20" s="1"/>
  <c r="J20" i="20"/>
  <c r="W20" i="20" s="1"/>
  <c r="J19" i="20"/>
  <c r="V19" i="20" s="1"/>
  <c r="J18" i="20"/>
  <c r="V18" i="20" s="1"/>
  <c r="J17" i="20"/>
  <c r="W17" i="20" s="1"/>
  <c r="J16" i="20"/>
  <c r="W16" i="20" s="1"/>
  <c r="J15" i="20"/>
  <c r="V15" i="20" s="1"/>
  <c r="J14" i="20"/>
  <c r="V14" i="20" s="1"/>
  <c r="J13" i="20"/>
  <c r="W13" i="20" s="1"/>
  <c r="J12" i="20"/>
  <c r="W12" i="20" s="1"/>
  <c r="J11" i="20"/>
  <c r="V11" i="20" s="1"/>
  <c r="J10" i="20"/>
  <c r="V10" i="20" s="1"/>
  <c r="J9" i="20"/>
  <c r="V9" i="20" s="1"/>
  <c r="J8" i="20"/>
  <c r="V8" i="20" s="1"/>
  <c r="J7" i="20"/>
  <c r="W7" i="20" s="1"/>
  <c r="J6" i="20"/>
  <c r="V6" i="20" s="1"/>
  <c r="N4" i="20"/>
  <c r="N6" i="20" s="1"/>
  <c r="J32" i="19"/>
  <c r="V32" i="19" s="1"/>
  <c r="J31" i="19"/>
  <c r="J30" i="19"/>
  <c r="J29" i="19"/>
  <c r="J28" i="19"/>
  <c r="J27" i="19"/>
  <c r="V27" i="19" s="1"/>
  <c r="J26" i="19"/>
  <c r="V26" i="19" s="1"/>
  <c r="J25" i="19"/>
  <c r="W25" i="19" s="1"/>
  <c r="W24" i="19"/>
  <c r="J24" i="19"/>
  <c r="V24" i="19" s="1"/>
  <c r="J23" i="19"/>
  <c r="V23" i="19" s="1"/>
  <c r="J22" i="19"/>
  <c r="V22" i="19" s="1"/>
  <c r="J21" i="19"/>
  <c r="W21" i="19" s="1"/>
  <c r="J20" i="19"/>
  <c r="V20" i="19" s="1"/>
  <c r="J19" i="19"/>
  <c r="V19" i="19" s="1"/>
  <c r="J18" i="19"/>
  <c r="V18" i="19" s="1"/>
  <c r="J17" i="19"/>
  <c r="W17" i="19" s="1"/>
  <c r="J16" i="19"/>
  <c r="V16" i="19" s="1"/>
  <c r="J15" i="19"/>
  <c r="V15" i="19" s="1"/>
  <c r="J14" i="19"/>
  <c r="V14" i="19" s="1"/>
  <c r="J13" i="19"/>
  <c r="W13" i="19" s="1"/>
  <c r="W12" i="19"/>
  <c r="J12" i="19"/>
  <c r="V12" i="19" s="1"/>
  <c r="J11" i="19"/>
  <c r="V11" i="19" s="1"/>
  <c r="J10" i="19"/>
  <c r="V10" i="19" s="1"/>
  <c r="J9" i="19"/>
  <c r="W9" i="19" s="1"/>
  <c r="J8" i="19"/>
  <c r="V8" i="19" s="1"/>
  <c r="J7" i="19"/>
  <c r="W7" i="19" s="1"/>
  <c r="J6" i="19"/>
  <c r="N4" i="19"/>
  <c r="N6" i="19" s="1"/>
  <c r="J32" i="18"/>
  <c r="W32" i="18" s="1"/>
  <c r="J31" i="18"/>
  <c r="J30" i="18"/>
  <c r="J29" i="18"/>
  <c r="J28" i="18"/>
  <c r="J27" i="18"/>
  <c r="J26" i="18"/>
  <c r="W26" i="18" s="1"/>
  <c r="J25" i="18"/>
  <c r="W25" i="18" s="1"/>
  <c r="J24" i="18"/>
  <c r="W24" i="18" s="1"/>
  <c r="J23" i="18"/>
  <c r="J22" i="18"/>
  <c r="W22" i="18" s="1"/>
  <c r="J21" i="18"/>
  <c r="W21" i="18" s="1"/>
  <c r="J20" i="18"/>
  <c r="W20" i="18" s="1"/>
  <c r="J19" i="18"/>
  <c r="J18" i="18"/>
  <c r="W18" i="18" s="1"/>
  <c r="J17" i="18"/>
  <c r="W17" i="18" s="1"/>
  <c r="J16" i="18"/>
  <c r="W16" i="18" s="1"/>
  <c r="J15" i="18"/>
  <c r="J14" i="18"/>
  <c r="W14" i="18" s="1"/>
  <c r="V13" i="18"/>
  <c r="J13" i="18"/>
  <c r="W13" i="18" s="1"/>
  <c r="J12" i="18"/>
  <c r="W12" i="18" s="1"/>
  <c r="J11" i="18"/>
  <c r="J10" i="18"/>
  <c r="W10" i="18" s="1"/>
  <c r="J9" i="18"/>
  <c r="W9" i="18" s="1"/>
  <c r="J8" i="18"/>
  <c r="W8" i="18" s="1"/>
  <c r="J7" i="18"/>
  <c r="W7" i="18" s="1"/>
  <c r="J6" i="18"/>
  <c r="V6" i="18" s="1"/>
  <c r="N4" i="18"/>
  <c r="J32" i="17"/>
  <c r="J31" i="17"/>
  <c r="J30" i="17"/>
  <c r="J29" i="17"/>
  <c r="J28" i="17"/>
  <c r="J27" i="17"/>
  <c r="V27" i="17" s="1"/>
  <c r="J26" i="17"/>
  <c r="V26" i="17" s="1"/>
  <c r="J25" i="17"/>
  <c r="V25" i="17" s="1"/>
  <c r="J24" i="17"/>
  <c r="J23" i="17"/>
  <c r="V23" i="17" s="1"/>
  <c r="J22" i="17"/>
  <c r="V22" i="17" s="1"/>
  <c r="J21" i="17"/>
  <c r="W21" i="17" s="1"/>
  <c r="J20" i="17"/>
  <c r="J19" i="17"/>
  <c r="V19" i="17" s="1"/>
  <c r="J18" i="17"/>
  <c r="V18" i="17" s="1"/>
  <c r="W17" i="17"/>
  <c r="J17" i="17"/>
  <c r="V17" i="17" s="1"/>
  <c r="J16" i="17"/>
  <c r="J15" i="17"/>
  <c r="V15" i="17" s="1"/>
  <c r="J14" i="17"/>
  <c r="V14" i="17" s="1"/>
  <c r="J13" i="17"/>
  <c r="V13" i="17" s="1"/>
  <c r="J12" i="17"/>
  <c r="J11" i="17"/>
  <c r="V11" i="17" s="1"/>
  <c r="J10" i="17"/>
  <c r="V10" i="17" s="1"/>
  <c r="J9" i="17"/>
  <c r="W9" i="17" s="1"/>
  <c r="J8" i="17"/>
  <c r="V8" i="17" s="1"/>
  <c r="J7" i="17"/>
  <c r="J6" i="17"/>
  <c r="N4" i="17"/>
  <c r="N6" i="17" s="1"/>
  <c r="J32" i="16"/>
  <c r="J31" i="16"/>
  <c r="J30" i="16"/>
  <c r="J29" i="16"/>
  <c r="J28" i="16"/>
  <c r="J27" i="16"/>
  <c r="W27" i="16" s="1"/>
  <c r="J26" i="16"/>
  <c r="W26" i="16" s="1"/>
  <c r="J25" i="16"/>
  <c r="V25" i="16" s="1"/>
  <c r="J24" i="16"/>
  <c r="J23" i="16"/>
  <c r="W23" i="16" s="1"/>
  <c r="V22" i="16"/>
  <c r="J22" i="16"/>
  <c r="W22" i="16" s="1"/>
  <c r="J21" i="16"/>
  <c r="V21" i="16" s="1"/>
  <c r="J20" i="16"/>
  <c r="J19" i="16"/>
  <c r="W19" i="16" s="1"/>
  <c r="J18" i="16"/>
  <c r="W18" i="16" s="1"/>
  <c r="J17" i="16"/>
  <c r="V17" i="16" s="1"/>
  <c r="J16" i="16"/>
  <c r="J15" i="16"/>
  <c r="W15" i="16" s="1"/>
  <c r="J14" i="16"/>
  <c r="W14" i="16" s="1"/>
  <c r="J13" i="16"/>
  <c r="V13" i="16" s="1"/>
  <c r="J12" i="16"/>
  <c r="J11" i="16"/>
  <c r="V11" i="16" s="1"/>
  <c r="J10" i="16"/>
  <c r="W10" i="16" s="1"/>
  <c r="J9" i="16"/>
  <c r="V9" i="16" s="1"/>
  <c r="J8" i="16"/>
  <c r="J7" i="16"/>
  <c r="V7" i="16" s="1"/>
  <c r="J6" i="16"/>
  <c r="W6" i="16" s="1"/>
  <c r="N4" i="16"/>
  <c r="J32" i="15"/>
  <c r="W32" i="15" s="1"/>
  <c r="J31" i="15"/>
  <c r="J30" i="15"/>
  <c r="J29" i="15"/>
  <c r="J28" i="15"/>
  <c r="J27" i="15"/>
  <c r="V27" i="15" s="1"/>
  <c r="J26" i="15"/>
  <c r="J25" i="15"/>
  <c r="W25" i="15" s="1"/>
  <c r="J24" i="15"/>
  <c r="W24" i="15" s="1"/>
  <c r="J23" i="15"/>
  <c r="V23" i="15" s="1"/>
  <c r="J22" i="15"/>
  <c r="J21" i="15"/>
  <c r="W21" i="15" s="1"/>
  <c r="J20" i="15"/>
  <c r="W20" i="15" s="1"/>
  <c r="J19" i="15"/>
  <c r="V19" i="15" s="1"/>
  <c r="J18" i="15"/>
  <c r="J17" i="15"/>
  <c r="V17" i="15" s="1"/>
  <c r="J16" i="15"/>
  <c r="W16" i="15" s="1"/>
  <c r="J15" i="15"/>
  <c r="V15" i="15" s="1"/>
  <c r="J14" i="15"/>
  <c r="J13" i="15"/>
  <c r="V13" i="15" s="1"/>
  <c r="J12" i="15"/>
  <c r="W12" i="15" s="1"/>
  <c r="J11" i="15"/>
  <c r="V11" i="15" s="1"/>
  <c r="J10" i="15"/>
  <c r="V10" i="15" s="1"/>
  <c r="J9" i="15"/>
  <c r="V9" i="15" s="1"/>
  <c r="J8" i="15"/>
  <c r="W8" i="15" s="1"/>
  <c r="J7" i="15"/>
  <c r="W7" i="15" s="1"/>
  <c r="J6" i="15"/>
  <c r="V6" i="15" s="1"/>
  <c r="N4" i="15"/>
  <c r="N6" i="15" s="1"/>
  <c r="J32" i="14"/>
  <c r="W32" i="14" s="1"/>
  <c r="J31" i="14"/>
  <c r="J30" i="14"/>
  <c r="J29" i="14"/>
  <c r="J28" i="14"/>
  <c r="J27" i="14"/>
  <c r="V27" i="14" s="1"/>
  <c r="J26" i="14"/>
  <c r="J25" i="14"/>
  <c r="W25" i="14" s="1"/>
  <c r="J24" i="14"/>
  <c r="W24" i="14" s="1"/>
  <c r="J23" i="14"/>
  <c r="V23" i="14" s="1"/>
  <c r="J22" i="14"/>
  <c r="J21" i="14"/>
  <c r="V21" i="14" s="1"/>
  <c r="J20" i="14"/>
  <c r="W20" i="14" s="1"/>
  <c r="J19" i="14"/>
  <c r="V19" i="14" s="1"/>
  <c r="V18" i="14"/>
  <c r="J18" i="14"/>
  <c r="W18" i="14" s="1"/>
  <c r="J17" i="14"/>
  <c r="J16" i="14"/>
  <c r="W16" i="14" s="1"/>
  <c r="J15" i="14"/>
  <c r="V15" i="14" s="1"/>
  <c r="J14" i="14"/>
  <c r="W14" i="14" s="1"/>
  <c r="V13" i="14"/>
  <c r="J13" i="14"/>
  <c r="W13" i="14" s="1"/>
  <c r="J12" i="14"/>
  <c r="W12" i="14" s="1"/>
  <c r="J11" i="14"/>
  <c r="V11" i="14" s="1"/>
  <c r="W10" i="14"/>
  <c r="J10" i="14"/>
  <c r="V10" i="14" s="1"/>
  <c r="J9" i="14"/>
  <c r="J8" i="14"/>
  <c r="W8" i="14" s="1"/>
  <c r="J7" i="14"/>
  <c r="W7" i="14" s="1"/>
  <c r="J6" i="14"/>
  <c r="V6" i="14" s="1"/>
  <c r="N4" i="14"/>
  <c r="N6" i="14" s="1"/>
  <c r="J32" i="13"/>
  <c r="W32" i="13" s="1"/>
  <c r="J31" i="13"/>
  <c r="J30" i="13"/>
  <c r="J29" i="13"/>
  <c r="J28" i="13"/>
  <c r="J27" i="13"/>
  <c r="V27" i="13" s="1"/>
  <c r="J26" i="13"/>
  <c r="V26" i="13" s="1"/>
  <c r="J25" i="13"/>
  <c r="J24" i="13"/>
  <c r="V24" i="13" s="1"/>
  <c r="J23" i="13"/>
  <c r="V23" i="13" s="1"/>
  <c r="J22" i="13"/>
  <c r="V22" i="13" s="1"/>
  <c r="J21" i="13"/>
  <c r="J20" i="13"/>
  <c r="V20" i="13" s="1"/>
  <c r="J19" i="13"/>
  <c r="V19" i="13" s="1"/>
  <c r="J18" i="13"/>
  <c r="V18" i="13" s="1"/>
  <c r="J17" i="13"/>
  <c r="J16" i="13"/>
  <c r="V16" i="13" s="1"/>
  <c r="J15" i="13"/>
  <c r="V15" i="13" s="1"/>
  <c r="J14" i="13"/>
  <c r="V14" i="13" s="1"/>
  <c r="J13" i="13"/>
  <c r="J12" i="13"/>
  <c r="V12" i="13" s="1"/>
  <c r="J11" i="13"/>
  <c r="V11" i="13" s="1"/>
  <c r="J10" i="13"/>
  <c r="V10" i="13" s="1"/>
  <c r="J9" i="13"/>
  <c r="V9" i="13" s="1"/>
  <c r="J8" i="13"/>
  <c r="V8" i="13" s="1"/>
  <c r="J7" i="13"/>
  <c r="W7" i="13" s="1"/>
  <c r="J6" i="13"/>
  <c r="N4" i="13"/>
  <c r="N6" i="13" s="1"/>
  <c r="J32" i="12"/>
  <c r="W32" i="12" s="1"/>
  <c r="J31" i="12"/>
  <c r="J30" i="12"/>
  <c r="J29" i="12"/>
  <c r="J28" i="12"/>
  <c r="J27" i="12"/>
  <c r="V27" i="12" s="1"/>
  <c r="J26" i="12"/>
  <c r="W26" i="12" s="1"/>
  <c r="J25" i="12"/>
  <c r="V25" i="12" s="1"/>
  <c r="J24" i="12"/>
  <c r="W24" i="12" s="1"/>
  <c r="J23" i="12"/>
  <c r="V23" i="12" s="1"/>
  <c r="J22" i="12"/>
  <c r="W22" i="12" s="1"/>
  <c r="J21" i="12"/>
  <c r="V21" i="12" s="1"/>
  <c r="J20" i="12"/>
  <c r="W20" i="12" s="1"/>
  <c r="J19" i="12"/>
  <c r="V19" i="12" s="1"/>
  <c r="J18" i="12"/>
  <c r="W18" i="12" s="1"/>
  <c r="J17" i="12"/>
  <c r="V17" i="12" s="1"/>
  <c r="J16" i="12"/>
  <c r="W16" i="12" s="1"/>
  <c r="J15" i="12"/>
  <c r="V15" i="12" s="1"/>
  <c r="J14" i="12"/>
  <c r="W14" i="12" s="1"/>
  <c r="J13" i="12"/>
  <c r="V13" i="12" s="1"/>
  <c r="J12" i="12"/>
  <c r="W12" i="12" s="1"/>
  <c r="J11" i="12"/>
  <c r="V11" i="12" s="1"/>
  <c r="J10" i="12"/>
  <c r="W10" i="12" s="1"/>
  <c r="J9" i="12"/>
  <c r="V9" i="12" s="1"/>
  <c r="J8" i="12"/>
  <c r="W8" i="12" s="1"/>
  <c r="J7" i="12"/>
  <c r="W7" i="12" s="1"/>
  <c r="J6" i="12"/>
  <c r="V6" i="12" s="1"/>
  <c r="N4" i="12"/>
  <c r="N6" i="12" s="1"/>
  <c r="J32" i="11"/>
  <c r="J31" i="11"/>
  <c r="J30" i="11"/>
  <c r="J29" i="11"/>
  <c r="J28" i="11"/>
  <c r="J27" i="11"/>
  <c r="V27" i="11" s="1"/>
  <c r="J26" i="11"/>
  <c r="W25" i="11"/>
  <c r="J25" i="11"/>
  <c r="V25" i="11" s="1"/>
  <c r="J24" i="11"/>
  <c r="J23" i="11"/>
  <c r="V23" i="11" s="1"/>
  <c r="J22" i="11"/>
  <c r="J21" i="11"/>
  <c r="V21" i="11" s="1"/>
  <c r="J20" i="11"/>
  <c r="J19" i="11"/>
  <c r="V19" i="11" s="1"/>
  <c r="J18" i="11"/>
  <c r="J17" i="11"/>
  <c r="V17" i="11" s="1"/>
  <c r="J16" i="11"/>
  <c r="J15" i="11"/>
  <c r="V15" i="11" s="1"/>
  <c r="J14" i="11"/>
  <c r="J13" i="11"/>
  <c r="V13" i="11" s="1"/>
  <c r="J12" i="11"/>
  <c r="J11" i="11"/>
  <c r="V11" i="11" s="1"/>
  <c r="J10" i="11"/>
  <c r="J9" i="11"/>
  <c r="V9" i="11" s="1"/>
  <c r="J8" i="11"/>
  <c r="W8" i="11" s="1"/>
  <c r="J7" i="11"/>
  <c r="W7" i="11" s="1"/>
  <c r="J6" i="11"/>
  <c r="V6" i="11" s="1"/>
  <c r="N4" i="11"/>
  <c r="J32" i="10"/>
  <c r="W32" i="10" s="1"/>
  <c r="J31" i="10"/>
  <c r="J30" i="10"/>
  <c r="J29" i="10"/>
  <c r="J28" i="10"/>
  <c r="J27" i="10"/>
  <c r="J26" i="10"/>
  <c r="W26" i="10" s="1"/>
  <c r="J25" i="10"/>
  <c r="V25" i="10" s="1"/>
  <c r="J24" i="10"/>
  <c r="W24" i="10" s="1"/>
  <c r="J23" i="10"/>
  <c r="V23" i="10" s="1"/>
  <c r="W22" i="10"/>
  <c r="V22" i="10"/>
  <c r="J22" i="10"/>
  <c r="J21" i="10"/>
  <c r="V21" i="10" s="1"/>
  <c r="J20" i="10"/>
  <c r="W20" i="10" s="1"/>
  <c r="W19" i="10"/>
  <c r="J19" i="10"/>
  <c r="V19" i="10" s="1"/>
  <c r="J18" i="10"/>
  <c r="W18" i="10" s="1"/>
  <c r="J17" i="10"/>
  <c r="V17" i="10" s="1"/>
  <c r="J16" i="10"/>
  <c r="W16" i="10" s="1"/>
  <c r="J15" i="10"/>
  <c r="V15" i="10" s="1"/>
  <c r="J14" i="10"/>
  <c r="J13" i="10"/>
  <c r="V13" i="10" s="1"/>
  <c r="J12" i="10"/>
  <c r="W12" i="10" s="1"/>
  <c r="J11" i="10"/>
  <c r="J10" i="10"/>
  <c r="W10" i="10" s="1"/>
  <c r="J9" i="10"/>
  <c r="V9" i="10" s="1"/>
  <c r="J8" i="10"/>
  <c r="W8" i="10" s="1"/>
  <c r="J7" i="10"/>
  <c r="W7" i="10" s="1"/>
  <c r="J6" i="10"/>
  <c r="V6" i="10" s="1"/>
  <c r="N4" i="10"/>
  <c r="J32" i="9"/>
  <c r="W32" i="9" s="1"/>
  <c r="J31" i="9"/>
  <c r="J30" i="9"/>
  <c r="J29" i="9"/>
  <c r="J28" i="9"/>
  <c r="J27" i="9"/>
  <c r="V27" i="9" s="1"/>
  <c r="J26" i="9"/>
  <c r="W26" i="9" s="1"/>
  <c r="J25" i="9"/>
  <c r="J24" i="9"/>
  <c r="W24" i="9" s="1"/>
  <c r="J23" i="9"/>
  <c r="V23" i="9" s="1"/>
  <c r="V22" i="9"/>
  <c r="J22" i="9"/>
  <c r="W22" i="9" s="1"/>
  <c r="J21" i="9"/>
  <c r="J20" i="9"/>
  <c r="W20" i="9" s="1"/>
  <c r="J19" i="9"/>
  <c r="V19" i="9" s="1"/>
  <c r="J18" i="9"/>
  <c r="V18" i="9" s="1"/>
  <c r="J17" i="9"/>
  <c r="W17" i="9" s="1"/>
  <c r="J16" i="9"/>
  <c r="W16" i="9" s="1"/>
  <c r="J15" i="9"/>
  <c r="V15" i="9" s="1"/>
  <c r="J14" i="9"/>
  <c r="V14" i="9" s="1"/>
  <c r="J13" i="9"/>
  <c r="V13" i="9" s="1"/>
  <c r="J12" i="9"/>
  <c r="W12" i="9" s="1"/>
  <c r="J11" i="9"/>
  <c r="V11" i="9" s="1"/>
  <c r="J10" i="9"/>
  <c r="W10" i="9" s="1"/>
  <c r="J9" i="9"/>
  <c r="W9" i="9" s="1"/>
  <c r="J8" i="9"/>
  <c r="W8" i="9" s="1"/>
  <c r="J7" i="9"/>
  <c r="W7" i="9" s="1"/>
  <c r="J6" i="9"/>
  <c r="V6" i="9" s="1"/>
  <c r="N4" i="9"/>
  <c r="N6" i="9" s="1"/>
  <c r="J32" i="8"/>
  <c r="W32" i="8" s="1"/>
  <c r="J31" i="8"/>
  <c r="J30" i="8"/>
  <c r="J29" i="8"/>
  <c r="J28" i="8"/>
  <c r="J27" i="8"/>
  <c r="V27" i="8" s="1"/>
  <c r="J26" i="8"/>
  <c r="V26" i="8" s="1"/>
  <c r="J25" i="8"/>
  <c r="J24" i="8"/>
  <c r="J23" i="8"/>
  <c r="V23" i="8" s="1"/>
  <c r="J22" i="8"/>
  <c r="V22" i="8" s="1"/>
  <c r="J21" i="8"/>
  <c r="V21" i="8" s="1"/>
  <c r="J20" i="8"/>
  <c r="W20" i="8" s="1"/>
  <c r="J19" i="8"/>
  <c r="V19" i="8" s="1"/>
  <c r="W18" i="8"/>
  <c r="J18" i="8"/>
  <c r="V18" i="8" s="1"/>
  <c r="J17" i="8"/>
  <c r="V17" i="8" s="1"/>
  <c r="J16" i="8"/>
  <c r="W16" i="8" s="1"/>
  <c r="J15" i="8"/>
  <c r="V15" i="8" s="1"/>
  <c r="J14" i="8"/>
  <c r="V14" i="8" s="1"/>
  <c r="J13" i="8"/>
  <c r="V13" i="8" s="1"/>
  <c r="J12" i="8"/>
  <c r="W12" i="8" s="1"/>
  <c r="J11" i="8"/>
  <c r="V11" i="8" s="1"/>
  <c r="J10" i="8"/>
  <c r="V10" i="8" s="1"/>
  <c r="J9" i="8"/>
  <c r="V9" i="8" s="1"/>
  <c r="J8" i="8"/>
  <c r="V8" i="8" s="1"/>
  <c r="J7" i="8"/>
  <c r="W7" i="8" s="1"/>
  <c r="J6" i="8"/>
  <c r="V6" i="8" s="1"/>
  <c r="N4" i="8"/>
  <c r="J32" i="7"/>
  <c r="W32" i="7" s="1"/>
  <c r="J31" i="7"/>
  <c r="J30" i="7"/>
  <c r="J29" i="7"/>
  <c r="J28" i="7"/>
  <c r="J27" i="7"/>
  <c r="V27" i="7" s="1"/>
  <c r="J26" i="7"/>
  <c r="W26" i="7" s="1"/>
  <c r="J25" i="7"/>
  <c r="W25" i="7" s="1"/>
  <c r="J24" i="7"/>
  <c r="W24" i="7" s="1"/>
  <c r="J23" i="7"/>
  <c r="V23" i="7" s="1"/>
  <c r="J22" i="7"/>
  <c r="W22" i="7" s="1"/>
  <c r="J21" i="7"/>
  <c r="W21" i="7" s="1"/>
  <c r="J20" i="7"/>
  <c r="W20" i="7" s="1"/>
  <c r="J19" i="7"/>
  <c r="V19" i="7" s="1"/>
  <c r="J18" i="7"/>
  <c r="W18" i="7" s="1"/>
  <c r="J17" i="7"/>
  <c r="W17" i="7" s="1"/>
  <c r="J16" i="7"/>
  <c r="W16" i="7" s="1"/>
  <c r="J15" i="7"/>
  <c r="V15" i="7" s="1"/>
  <c r="J14" i="7"/>
  <c r="V14" i="7" s="1"/>
  <c r="J13" i="7"/>
  <c r="W13" i="7" s="1"/>
  <c r="J12" i="7"/>
  <c r="W12" i="7" s="1"/>
  <c r="J11" i="7"/>
  <c r="V11" i="7" s="1"/>
  <c r="J10" i="7"/>
  <c r="V10" i="7" s="1"/>
  <c r="J9" i="7"/>
  <c r="W9" i="7" s="1"/>
  <c r="J8" i="7"/>
  <c r="W8" i="7" s="1"/>
  <c r="J7" i="7"/>
  <c r="W7" i="7" s="1"/>
  <c r="J6" i="7"/>
  <c r="V6" i="7" s="1"/>
  <c r="N4" i="7"/>
  <c r="J32" i="6"/>
  <c r="W32" i="6" s="1"/>
  <c r="J31" i="6"/>
  <c r="J30" i="6"/>
  <c r="J29" i="6"/>
  <c r="J28" i="6"/>
  <c r="J27" i="6"/>
  <c r="V27" i="6" s="1"/>
  <c r="J26" i="6"/>
  <c r="V26" i="6" s="1"/>
  <c r="W25" i="6"/>
  <c r="J25" i="6"/>
  <c r="V25" i="6" s="1"/>
  <c r="J24" i="6"/>
  <c r="W24" i="6" s="1"/>
  <c r="J23" i="6"/>
  <c r="V23" i="6" s="1"/>
  <c r="J22" i="6"/>
  <c r="V22" i="6" s="1"/>
  <c r="J21" i="6"/>
  <c r="V21" i="6" s="1"/>
  <c r="J20" i="6"/>
  <c r="W20" i="6" s="1"/>
  <c r="J19" i="6"/>
  <c r="V19" i="6" s="1"/>
  <c r="J18" i="6"/>
  <c r="W18" i="6" s="1"/>
  <c r="J17" i="6"/>
  <c r="V17" i="6" s="1"/>
  <c r="J16" i="6"/>
  <c r="W16" i="6" s="1"/>
  <c r="J15" i="6"/>
  <c r="V15" i="6" s="1"/>
  <c r="J14" i="6"/>
  <c r="V14" i="6" s="1"/>
  <c r="J13" i="6"/>
  <c r="V13" i="6" s="1"/>
  <c r="J12" i="6"/>
  <c r="W12" i="6" s="1"/>
  <c r="J11" i="6"/>
  <c r="V11" i="6" s="1"/>
  <c r="J10" i="6"/>
  <c r="W10" i="6" s="1"/>
  <c r="J9" i="6"/>
  <c r="V9" i="6" s="1"/>
  <c r="J8" i="6"/>
  <c r="W8" i="6" s="1"/>
  <c r="J7" i="6"/>
  <c r="W7" i="6" s="1"/>
  <c r="J6" i="6"/>
  <c r="V6" i="6" s="1"/>
  <c r="N4" i="6"/>
  <c r="N6" i="6" s="1"/>
  <c r="W10" i="8" l="1"/>
  <c r="V20" i="9"/>
  <c r="V26" i="9"/>
  <c r="W25" i="12"/>
  <c r="W24" i="13"/>
  <c r="V20" i="14"/>
  <c r="V26" i="16"/>
  <c r="V9" i="17"/>
  <c r="W32" i="19"/>
  <c r="W32" i="24"/>
  <c r="V32" i="20"/>
  <c r="W21" i="22"/>
  <c r="V24" i="25"/>
  <c r="W22" i="25"/>
  <c r="V14" i="14"/>
  <c r="W21" i="14"/>
  <c r="V14" i="16"/>
  <c r="V21" i="17"/>
  <c r="V17" i="18"/>
  <c r="W19" i="23"/>
  <c r="V16" i="25"/>
  <c r="V17" i="26"/>
  <c r="V16" i="6"/>
  <c r="W15" i="7"/>
  <c r="V16" i="8"/>
  <c r="V16" i="9"/>
  <c r="W9" i="13"/>
  <c r="W12" i="13"/>
  <c r="W16" i="19"/>
  <c r="V16" i="20"/>
  <c r="W12" i="24"/>
  <c r="V24" i="24"/>
  <c r="V14" i="25"/>
  <c r="W14" i="6"/>
  <c r="W19" i="7"/>
  <c r="W14" i="8"/>
  <c r="W22" i="8"/>
  <c r="W14" i="9"/>
  <c r="W15" i="10"/>
  <c r="V18" i="10"/>
  <c r="W17" i="11"/>
  <c r="W17" i="12"/>
  <c r="W16" i="13"/>
  <c r="W13" i="15"/>
  <c r="V18" i="16"/>
  <c r="W13" i="17"/>
  <c r="V21" i="18"/>
  <c r="W20" i="19"/>
  <c r="V20" i="20"/>
  <c r="V17" i="21"/>
  <c r="V25" i="21"/>
  <c r="W25" i="22"/>
  <c r="W22" i="23"/>
  <c r="V11" i="24"/>
  <c r="V16" i="24"/>
  <c r="V12" i="25"/>
  <c r="V26" i="25"/>
  <c r="V32" i="25"/>
  <c r="W18" i="9"/>
  <c r="W13" i="11"/>
  <c r="W13" i="12"/>
  <c r="V16" i="14"/>
  <c r="W14" i="26"/>
  <c r="W21" i="6"/>
  <c r="W26" i="6"/>
  <c r="W23" i="7"/>
  <c r="V26" i="7"/>
  <c r="V12" i="8"/>
  <c r="V20" i="8"/>
  <c r="W26" i="8"/>
  <c r="W13" i="9"/>
  <c r="V17" i="9"/>
  <c r="W21" i="11"/>
  <c r="W21" i="12"/>
  <c r="W20" i="13"/>
  <c r="W17" i="15"/>
  <c r="W25" i="17"/>
  <c r="V25" i="18"/>
  <c r="W8" i="19"/>
  <c r="V24" i="20"/>
  <c r="V18" i="6"/>
  <c r="W17" i="6"/>
  <c r="W22" i="6"/>
  <c r="V32" i="6"/>
  <c r="W11" i="7"/>
  <c r="V17" i="7"/>
  <c r="V21" i="7"/>
  <c r="V25" i="7"/>
  <c r="W9" i="8"/>
  <c r="W13" i="8"/>
  <c r="W17" i="8"/>
  <c r="W21" i="8"/>
  <c r="W24" i="8"/>
  <c r="V24" i="8"/>
  <c r="W14" i="10"/>
  <c r="V14" i="10"/>
  <c r="W16" i="11"/>
  <c r="V16" i="11"/>
  <c r="W22" i="11"/>
  <c r="V22" i="11"/>
  <c r="W21" i="13"/>
  <c r="V21" i="13"/>
  <c r="W18" i="15"/>
  <c r="V18" i="15"/>
  <c r="W22" i="15"/>
  <c r="V22" i="15"/>
  <c r="W26" i="15"/>
  <c r="V26" i="15"/>
  <c r="V20" i="16"/>
  <c r="W20" i="16"/>
  <c r="V23" i="18"/>
  <c r="W23" i="18"/>
  <c r="W25" i="8"/>
  <c r="V25" i="8"/>
  <c r="W21" i="9"/>
  <c r="V21" i="9"/>
  <c r="V11" i="10"/>
  <c r="W11" i="10"/>
  <c r="W10" i="11"/>
  <c r="V10" i="11"/>
  <c r="W20" i="11"/>
  <c r="V20" i="11"/>
  <c r="W26" i="11"/>
  <c r="V26" i="11"/>
  <c r="W25" i="13"/>
  <c r="V25" i="13"/>
  <c r="V9" i="14"/>
  <c r="W9" i="14"/>
  <c r="V24" i="16"/>
  <c r="W24" i="16"/>
  <c r="W7" i="17"/>
  <c r="V7" i="17"/>
  <c r="W16" i="17"/>
  <c r="V16" i="17"/>
  <c r="W24" i="17"/>
  <c r="V24" i="17"/>
  <c r="V11" i="18"/>
  <c r="W11" i="18"/>
  <c r="V27" i="18"/>
  <c r="W27" i="18"/>
  <c r="V22" i="7"/>
  <c r="W25" i="9"/>
  <c r="V25" i="9"/>
  <c r="V27" i="10"/>
  <c r="W27" i="10"/>
  <c r="W14" i="11"/>
  <c r="V14" i="11"/>
  <c r="W24" i="11"/>
  <c r="V24" i="11"/>
  <c r="W13" i="13"/>
  <c r="V13" i="13"/>
  <c r="W17" i="14"/>
  <c r="V17" i="14"/>
  <c r="W22" i="14"/>
  <c r="V22" i="14"/>
  <c r="W26" i="14"/>
  <c r="V26" i="14"/>
  <c r="V12" i="16"/>
  <c r="W12" i="16"/>
  <c r="V32" i="16"/>
  <c r="W32" i="16"/>
  <c r="W32" i="17"/>
  <c r="V32" i="17"/>
  <c r="V15" i="18"/>
  <c r="W15" i="18"/>
  <c r="V20" i="6"/>
  <c r="V18" i="7"/>
  <c r="V24" i="6"/>
  <c r="W12" i="11"/>
  <c r="V12" i="11"/>
  <c r="W18" i="11"/>
  <c r="V18" i="11"/>
  <c r="W32" i="11"/>
  <c r="V32" i="11"/>
  <c r="W17" i="13"/>
  <c r="V17" i="13"/>
  <c r="W14" i="15"/>
  <c r="V14" i="15"/>
  <c r="V16" i="16"/>
  <c r="W16" i="16"/>
  <c r="W12" i="17"/>
  <c r="V12" i="17"/>
  <c r="W20" i="17"/>
  <c r="V20" i="17"/>
  <c r="V19" i="18"/>
  <c r="W19" i="18"/>
  <c r="W14" i="20"/>
  <c r="W18" i="20"/>
  <c r="W22" i="20"/>
  <c r="W26" i="20"/>
  <c r="V18" i="22"/>
  <c r="V20" i="22"/>
  <c r="W15" i="23"/>
  <c r="V18" i="23"/>
  <c r="V15" i="24"/>
  <c r="V19" i="24"/>
  <c r="V23" i="24"/>
  <c r="V27" i="24"/>
  <c r="V10" i="25"/>
  <c r="W10" i="26"/>
  <c r="V13" i="26"/>
  <c r="W26" i="26"/>
  <c r="V10" i="9"/>
  <c r="V10" i="10"/>
  <c r="W23" i="10"/>
  <c r="V26" i="10"/>
  <c r="V14" i="12"/>
  <c r="V18" i="12"/>
  <c r="V22" i="12"/>
  <c r="V26" i="12"/>
  <c r="V32" i="13"/>
  <c r="V25" i="14"/>
  <c r="V21" i="15"/>
  <c r="V25" i="15"/>
  <c r="V15" i="16"/>
  <c r="V19" i="16"/>
  <c r="V23" i="16"/>
  <c r="V27" i="16"/>
  <c r="W14" i="17"/>
  <c r="W18" i="17"/>
  <c r="W22" i="17"/>
  <c r="W26" i="17"/>
  <c r="V14" i="18"/>
  <c r="V18" i="18"/>
  <c r="V22" i="18"/>
  <c r="V26" i="18"/>
  <c r="V7" i="19"/>
  <c r="V9" i="19"/>
  <c r="V13" i="19"/>
  <c r="V17" i="19"/>
  <c r="V21" i="19"/>
  <c r="V25" i="19"/>
  <c r="V13" i="20"/>
  <c r="V17" i="20"/>
  <c r="V21" i="20"/>
  <c r="V25" i="20"/>
  <c r="W13" i="21"/>
  <c r="V16" i="21"/>
  <c r="V20" i="21"/>
  <c r="V24" i="21"/>
  <c r="V32" i="21"/>
  <c r="V22" i="22"/>
  <c r="V24" i="22"/>
  <c r="V32" i="22"/>
  <c r="W11" i="23"/>
  <c r="V14" i="23"/>
  <c r="W27" i="23"/>
  <c r="W13" i="25"/>
  <c r="W17" i="25"/>
  <c r="W21" i="25"/>
  <c r="W25" i="25"/>
  <c r="V9" i="26"/>
  <c r="W22" i="26"/>
  <c r="V25" i="26"/>
  <c r="V32" i="8"/>
  <c r="W18" i="21"/>
  <c r="W22" i="21"/>
  <c r="W26" i="21"/>
  <c r="W26" i="22"/>
  <c r="W23" i="23"/>
  <c r="V7" i="24"/>
  <c r="V14" i="24"/>
  <c r="W18" i="26"/>
  <c r="V8" i="26"/>
  <c r="V7" i="26"/>
  <c r="V12" i="26"/>
  <c r="V16" i="26"/>
  <c r="V20" i="26"/>
  <c r="V24" i="26"/>
  <c r="V32" i="26"/>
  <c r="W6" i="26"/>
  <c r="W11" i="26"/>
  <c r="W15" i="26"/>
  <c r="W19" i="26"/>
  <c r="W23" i="26"/>
  <c r="W27" i="26"/>
  <c r="J33" i="26"/>
  <c r="V8" i="25"/>
  <c r="V7" i="25"/>
  <c r="W9" i="25"/>
  <c r="W6" i="25"/>
  <c r="W11" i="25"/>
  <c r="W15" i="25"/>
  <c r="W19" i="25"/>
  <c r="W23" i="25"/>
  <c r="W27" i="25"/>
  <c r="J33" i="25"/>
  <c r="W6" i="24"/>
  <c r="V10" i="24"/>
  <c r="V8" i="24"/>
  <c r="W9" i="24"/>
  <c r="W13" i="24"/>
  <c r="W17" i="24"/>
  <c r="W21" i="24"/>
  <c r="W25" i="24"/>
  <c r="W18" i="24"/>
  <c r="W22" i="24"/>
  <c r="W26" i="24"/>
  <c r="J33" i="24"/>
  <c r="V10" i="23"/>
  <c r="W6" i="23"/>
  <c r="N6" i="23"/>
  <c r="V7" i="23"/>
  <c r="V8" i="23"/>
  <c r="W9" i="23"/>
  <c r="V12" i="23"/>
  <c r="W13" i="23"/>
  <c r="V16" i="23"/>
  <c r="W17" i="23"/>
  <c r="V20" i="23"/>
  <c r="W21" i="23"/>
  <c r="V24" i="23"/>
  <c r="W25" i="23"/>
  <c r="V32" i="23"/>
  <c r="J33" i="23"/>
  <c r="W10" i="22"/>
  <c r="V7" i="22"/>
  <c r="W14" i="22"/>
  <c r="N6" i="22"/>
  <c r="V8" i="22"/>
  <c r="W9" i="22"/>
  <c r="V12" i="22"/>
  <c r="W13" i="22"/>
  <c r="V16" i="22"/>
  <c r="W17" i="22"/>
  <c r="W15" i="22"/>
  <c r="W23" i="22"/>
  <c r="W27" i="22"/>
  <c r="J33" i="22"/>
  <c r="W6" i="22"/>
  <c r="W11" i="22"/>
  <c r="W19" i="22"/>
  <c r="W8" i="21"/>
  <c r="V12" i="21"/>
  <c r="W9" i="21"/>
  <c r="V7" i="21"/>
  <c r="W10" i="21"/>
  <c r="W14" i="21"/>
  <c r="W6" i="21"/>
  <c r="W11" i="21"/>
  <c r="W15" i="21"/>
  <c r="W19" i="21"/>
  <c r="W23" i="21"/>
  <c r="W27" i="21"/>
  <c r="J33" i="21"/>
  <c r="W9" i="20"/>
  <c r="V12" i="20"/>
  <c r="W8" i="20"/>
  <c r="V7" i="20"/>
  <c r="W10" i="20"/>
  <c r="W6" i="20"/>
  <c r="W11" i="20"/>
  <c r="W15" i="20"/>
  <c r="W19" i="20"/>
  <c r="W23" i="20"/>
  <c r="W27" i="20"/>
  <c r="J33" i="20"/>
  <c r="J33" i="19"/>
  <c r="V6" i="19"/>
  <c r="W14" i="19"/>
  <c r="W18" i="19"/>
  <c r="W22" i="19"/>
  <c r="W10" i="19"/>
  <c r="W26" i="19"/>
  <c r="W6" i="19"/>
  <c r="W11" i="19"/>
  <c r="W15" i="19"/>
  <c r="W19" i="19"/>
  <c r="W23" i="19"/>
  <c r="W27" i="19"/>
  <c r="V10" i="18"/>
  <c r="V9" i="18"/>
  <c r="N6" i="18"/>
  <c r="V7" i="18"/>
  <c r="V8" i="18"/>
  <c r="V12" i="18"/>
  <c r="V16" i="18"/>
  <c r="V20" i="18"/>
  <c r="V24" i="18"/>
  <c r="V32" i="18"/>
  <c r="W6" i="18"/>
  <c r="J33" i="18"/>
  <c r="W8" i="17"/>
  <c r="J33" i="17"/>
  <c r="V6" i="17"/>
  <c r="W10" i="17"/>
  <c r="W6" i="17"/>
  <c r="W11" i="17"/>
  <c r="W15" i="17"/>
  <c r="W19" i="17"/>
  <c r="W23" i="17"/>
  <c r="W27" i="17"/>
  <c r="J33" i="16"/>
  <c r="V6" i="16"/>
  <c r="W7" i="16"/>
  <c r="V10" i="16"/>
  <c r="W11" i="16"/>
  <c r="W8" i="16"/>
  <c r="N6" i="16"/>
  <c r="V8" i="16"/>
  <c r="W9" i="16"/>
  <c r="W13" i="16"/>
  <c r="W17" i="16"/>
  <c r="W21" i="16"/>
  <c r="W25" i="16"/>
  <c r="W9" i="15"/>
  <c r="V8" i="15"/>
  <c r="W10" i="15"/>
  <c r="V7" i="15"/>
  <c r="V12" i="15"/>
  <c r="V16" i="15"/>
  <c r="V20" i="15"/>
  <c r="V24" i="15"/>
  <c r="V32" i="15"/>
  <c r="W6" i="15"/>
  <c r="W11" i="15"/>
  <c r="W15" i="15"/>
  <c r="W19" i="15"/>
  <c r="W23" i="15"/>
  <c r="W27" i="15"/>
  <c r="J33" i="15"/>
  <c r="V12" i="14"/>
  <c r="V7" i="14"/>
  <c r="V8" i="14"/>
  <c r="V24" i="14"/>
  <c r="V32" i="14"/>
  <c r="W6" i="14"/>
  <c r="W11" i="14"/>
  <c r="W15" i="14"/>
  <c r="W19" i="14"/>
  <c r="W23" i="14"/>
  <c r="W27" i="14"/>
  <c r="J33" i="14"/>
  <c r="W8" i="13"/>
  <c r="J33" i="13"/>
  <c r="V7" i="13"/>
  <c r="V6" i="13"/>
  <c r="W10" i="13"/>
  <c r="W14" i="13"/>
  <c r="W18" i="13"/>
  <c r="W22" i="13"/>
  <c r="W26" i="13"/>
  <c r="W6" i="13"/>
  <c r="W11" i="13"/>
  <c r="W15" i="13"/>
  <c r="W19" i="13"/>
  <c r="W23" i="13"/>
  <c r="W27" i="13"/>
  <c r="V12" i="12"/>
  <c r="V10" i="12"/>
  <c r="W9" i="12"/>
  <c r="V8" i="12"/>
  <c r="V7" i="12"/>
  <c r="V16" i="12"/>
  <c r="V20" i="12"/>
  <c r="V24" i="12"/>
  <c r="V32" i="12"/>
  <c r="W6" i="12"/>
  <c r="W11" i="12"/>
  <c r="W15" i="12"/>
  <c r="W19" i="12"/>
  <c r="W23" i="12"/>
  <c r="W27" i="12"/>
  <c r="J33" i="12"/>
  <c r="V8" i="11"/>
  <c r="W9" i="11"/>
  <c r="V7" i="11"/>
  <c r="N6" i="11"/>
  <c r="W6" i="11"/>
  <c r="W11" i="11"/>
  <c r="W15" i="11"/>
  <c r="W19" i="11"/>
  <c r="W23" i="11"/>
  <c r="W27" i="11"/>
  <c r="J33" i="11"/>
  <c r="N6" i="10"/>
  <c r="V7" i="10"/>
  <c r="V8" i="10"/>
  <c r="W9" i="10"/>
  <c r="V12" i="10"/>
  <c r="W13" i="10"/>
  <c r="V16" i="10"/>
  <c r="W17" i="10"/>
  <c r="V20" i="10"/>
  <c r="W21" i="10"/>
  <c r="V24" i="10"/>
  <c r="W25" i="10"/>
  <c r="V32" i="10"/>
  <c r="W6" i="10"/>
  <c r="J33" i="10"/>
  <c r="V9" i="9"/>
  <c r="V8" i="9"/>
  <c r="V7" i="9"/>
  <c r="V12" i="9"/>
  <c r="V24" i="9"/>
  <c r="V32" i="9"/>
  <c r="W6" i="9"/>
  <c r="W11" i="9"/>
  <c r="W15" i="9"/>
  <c r="W19" i="9"/>
  <c r="W23" i="9"/>
  <c r="W27" i="9"/>
  <c r="J33" i="9"/>
  <c r="W8" i="8"/>
  <c r="V7" i="8"/>
  <c r="W6" i="8"/>
  <c r="W11" i="8"/>
  <c r="W15" i="8"/>
  <c r="W19" i="8"/>
  <c r="W23" i="8"/>
  <c r="W27" i="8"/>
  <c r="J33" i="8"/>
  <c r="N6" i="8"/>
  <c r="V9" i="7"/>
  <c r="V13" i="7"/>
  <c r="W10" i="7"/>
  <c r="W14" i="7"/>
  <c r="N6" i="7"/>
  <c r="V7" i="7"/>
  <c r="V8" i="7"/>
  <c r="V12" i="7"/>
  <c r="V16" i="7"/>
  <c r="V20" i="7"/>
  <c r="V24" i="7"/>
  <c r="V32" i="7"/>
  <c r="W6" i="7"/>
  <c r="W27" i="7"/>
  <c r="J33" i="7"/>
  <c r="W13" i="6"/>
  <c r="V12" i="6"/>
  <c r="V10" i="6"/>
  <c r="V8" i="6"/>
  <c r="W9" i="6"/>
  <c r="V7" i="6"/>
  <c r="W6" i="6"/>
  <c r="W11" i="6"/>
  <c r="W15" i="6"/>
  <c r="W19" i="6"/>
  <c r="W23" i="6"/>
  <c r="W27" i="6"/>
  <c r="J33" i="6"/>
  <c r="W33" i="7" l="1"/>
  <c r="P4" i="7" s="1"/>
  <c r="P6" i="7" s="1"/>
  <c r="V33" i="25"/>
  <c r="O4" i="25" s="1"/>
  <c r="O6" i="25" s="1"/>
  <c r="R6" i="25" s="1"/>
  <c r="P8" i="25" s="1"/>
  <c r="V33" i="8"/>
  <c r="O4" i="8" s="1"/>
  <c r="V33" i="17"/>
  <c r="O4" i="17" s="1"/>
  <c r="O6" i="17" s="1"/>
  <c r="R6" i="17" s="1"/>
  <c r="P8" i="17" s="1"/>
  <c r="W33" i="18"/>
  <c r="P4" i="18" s="1"/>
  <c r="P6" i="18" s="1"/>
  <c r="V33" i="19"/>
  <c r="O4" i="19" s="1"/>
  <c r="R4" i="19" s="1"/>
  <c r="V33" i="11"/>
  <c r="O4" i="11" s="1"/>
  <c r="R4" i="11" s="1"/>
  <c r="W33" i="26"/>
  <c r="P4" i="26" s="1"/>
  <c r="P6" i="26" s="1"/>
  <c r="V33" i="26"/>
  <c r="O4" i="26" s="1"/>
  <c r="R4" i="25"/>
  <c r="W33" i="25"/>
  <c r="P4" i="25" s="1"/>
  <c r="V33" i="24"/>
  <c r="O4" i="24" s="1"/>
  <c r="R4" i="24" s="1"/>
  <c r="W33" i="24"/>
  <c r="P4" i="24" s="1"/>
  <c r="P6" i="24" s="1"/>
  <c r="V33" i="23"/>
  <c r="O4" i="23" s="1"/>
  <c r="R4" i="23" s="1"/>
  <c r="W33" i="23"/>
  <c r="P4" i="23" s="1"/>
  <c r="P6" i="23" s="1"/>
  <c r="V33" i="22"/>
  <c r="O4" i="22" s="1"/>
  <c r="W33" i="22"/>
  <c r="P4" i="22" s="1"/>
  <c r="P6" i="22" s="1"/>
  <c r="V33" i="21"/>
  <c r="O4" i="21" s="1"/>
  <c r="R4" i="21" s="1"/>
  <c r="W33" i="21"/>
  <c r="P4" i="21" s="1"/>
  <c r="P6" i="21" s="1"/>
  <c r="V33" i="20"/>
  <c r="O4" i="20" s="1"/>
  <c r="R4" i="20" s="1"/>
  <c r="W33" i="20"/>
  <c r="P4" i="20" s="1"/>
  <c r="P6" i="20" s="1"/>
  <c r="O6" i="19"/>
  <c r="R6" i="19" s="1"/>
  <c r="P8" i="19" s="1"/>
  <c r="W33" i="19"/>
  <c r="P4" i="19" s="1"/>
  <c r="P6" i="19" s="1"/>
  <c r="V33" i="18"/>
  <c r="O4" i="18" s="1"/>
  <c r="Q4" i="18" s="1"/>
  <c r="Q6" i="18" s="1"/>
  <c r="W33" i="17"/>
  <c r="P4" i="17" s="1"/>
  <c r="P6" i="17" s="1"/>
  <c r="V33" i="16"/>
  <c r="O4" i="16" s="1"/>
  <c r="O6" i="16" s="1"/>
  <c r="R6" i="16" s="1"/>
  <c r="P8" i="16" s="1"/>
  <c r="W33" i="16"/>
  <c r="P4" i="16" s="1"/>
  <c r="P6" i="16" s="1"/>
  <c r="V33" i="15"/>
  <c r="O4" i="15" s="1"/>
  <c r="R4" i="15" s="1"/>
  <c r="W33" i="15"/>
  <c r="P4" i="15" s="1"/>
  <c r="P6" i="15" s="1"/>
  <c r="W33" i="14"/>
  <c r="P4" i="14" s="1"/>
  <c r="P6" i="14" s="1"/>
  <c r="V33" i="14"/>
  <c r="O4" i="14" s="1"/>
  <c r="V33" i="13"/>
  <c r="O4" i="13" s="1"/>
  <c r="R4" i="13" s="1"/>
  <c r="W33" i="13"/>
  <c r="P4" i="13" s="1"/>
  <c r="P6" i="13" s="1"/>
  <c r="V33" i="12"/>
  <c r="O4" i="12" s="1"/>
  <c r="W33" i="12"/>
  <c r="P4" i="12" s="1"/>
  <c r="P6" i="12" s="1"/>
  <c r="O6" i="11"/>
  <c r="R6" i="11" s="1"/>
  <c r="P8" i="11" s="1"/>
  <c r="W33" i="11"/>
  <c r="P4" i="11" s="1"/>
  <c r="P6" i="11" s="1"/>
  <c r="V33" i="10"/>
  <c r="O4" i="10" s="1"/>
  <c r="W33" i="10"/>
  <c r="P4" i="10" s="1"/>
  <c r="P6" i="10" s="1"/>
  <c r="V33" i="9"/>
  <c r="O4" i="9" s="1"/>
  <c r="R4" i="9" s="1"/>
  <c r="W33" i="9"/>
  <c r="P4" i="9" s="1"/>
  <c r="P6" i="9" s="1"/>
  <c r="O6" i="8"/>
  <c r="R6" i="8" s="1"/>
  <c r="P8" i="8" s="1"/>
  <c r="R4" i="8"/>
  <c r="W33" i="8"/>
  <c r="P4" i="8" s="1"/>
  <c r="P6" i="8" s="1"/>
  <c r="V33" i="7"/>
  <c r="O4" i="7" s="1"/>
  <c r="Q4" i="7" s="1"/>
  <c r="Q6" i="7" s="1"/>
  <c r="V33" i="6"/>
  <c r="O4" i="6" s="1"/>
  <c r="O6" i="6" s="1"/>
  <c r="R6" i="6" s="1"/>
  <c r="P8" i="6" s="1"/>
  <c r="W33" i="6"/>
  <c r="P4" i="6" s="1"/>
  <c r="P6" i="6" s="1"/>
  <c r="R4" i="17" l="1"/>
  <c r="Q4" i="26"/>
  <c r="Q6" i="26" s="1"/>
  <c r="Q4" i="17"/>
  <c r="Q6" i="17" s="1"/>
  <c r="R4" i="26"/>
  <c r="O6" i="26"/>
  <c r="R6" i="26" s="1"/>
  <c r="P8" i="26" s="1"/>
  <c r="P6" i="25"/>
  <c r="Q4" i="25"/>
  <c r="Q6" i="25" s="1"/>
  <c r="Q4" i="22"/>
  <c r="Q6" i="22" s="1"/>
  <c r="O6" i="24"/>
  <c r="R6" i="24" s="1"/>
  <c r="P8" i="24" s="1"/>
  <c r="Q4" i="24"/>
  <c r="Q6" i="24" s="1"/>
  <c r="O6" i="23"/>
  <c r="R6" i="23" s="1"/>
  <c r="P8" i="23" s="1"/>
  <c r="Q4" i="23"/>
  <c r="Q6" i="23" s="1"/>
  <c r="O6" i="22"/>
  <c r="R6" i="22" s="1"/>
  <c r="P8" i="22" s="1"/>
  <c r="R4" i="22"/>
  <c r="O6" i="21"/>
  <c r="R6" i="21" s="1"/>
  <c r="P8" i="21" s="1"/>
  <c r="Q4" i="21"/>
  <c r="Q6" i="21" s="1"/>
  <c r="O6" i="20"/>
  <c r="R6" i="20" s="1"/>
  <c r="P8" i="20" s="1"/>
  <c r="Q4" i="20"/>
  <c r="Q6" i="20" s="1"/>
  <c r="Q4" i="19"/>
  <c r="Q6" i="19" s="1"/>
  <c r="O6" i="18"/>
  <c r="R6" i="18" s="1"/>
  <c r="P8" i="18" s="1"/>
  <c r="R4" i="18"/>
  <c r="R4" i="16"/>
  <c r="Q4" i="16"/>
  <c r="Q6" i="16" s="1"/>
  <c r="O6" i="15"/>
  <c r="R6" i="15" s="1"/>
  <c r="P8" i="15" s="1"/>
  <c r="Q4" i="15"/>
  <c r="Q6" i="15" s="1"/>
  <c r="Q4" i="14"/>
  <c r="Q6" i="14" s="1"/>
  <c r="O6" i="14"/>
  <c r="R6" i="14" s="1"/>
  <c r="P8" i="14" s="1"/>
  <c r="R4" i="14"/>
  <c r="O6" i="13"/>
  <c r="R6" i="13" s="1"/>
  <c r="P8" i="13" s="1"/>
  <c r="Q4" i="13"/>
  <c r="Q6" i="13" s="1"/>
  <c r="Q4" i="12"/>
  <c r="Q6" i="12" s="1"/>
  <c r="R4" i="12"/>
  <c r="O6" i="12"/>
  <c r="R6" i="12" s="1"/>
  <c r="P8" i="12" s="1"/>
  <c r="Q4" i="11"/>
  <c r="Q6" i="11" s="1"/>
  <c r="Q4" i="10"/>
  <c r="Q6" i="10" s="1"/>
  <c r="O6" i="10"/>
  <c r="R6" i="10" s="1"/>
  <c r="P8" i="10" s="1"/>
  <c r="R4" i="10"/>
  <c r="O6" i="9"/>
  <c r="R6" i="9" s="1"/>
  <c r="P8" i="9" s="1"/>
  <c r="Q4" i="9"/>
  <c r="Q6" i="9" s="1"/>
  <c r="Q4" i="8"/>
  <c r="Q6" i="8" s="1"/>
  <c r="O6" i="7"/>
  <c r="R6" i="7" s="1"/>
  <c r="P8" i="7" s="1"/>
  <c r="R4" i="7"/>
  <c r="R4" i="6"/>
  <c r="Q4" i="6"/>
  <c r="Q6" i="6" s="1"/>
  <c r="J32" i="5" l="1"/>
  <c r="W32" i="5" s="1"/>
  <c r="J31" i="5"/>
  <c r="J30" i="5"/>
  <c r="J29" i="5"/>
  <c r="J28" i="5"/>
  <c r="J27" i="5"/>
  <c r="V27" i="5" s="1"/>
  <c r="W26" i="5"/>
  <c r="V26" i="5"/>
  <c r="J26" i="5"/>
  <c r="J25" i="5"/>
  <c r="W25" i="5" s="1"/>
  <c r="J24" i="5"/>
  <c r="W24" i="5" s="1"/>
  <c r="J23" i="5"/>
  <c r="V23" i="5" s="1"/>
  <c r="J22" i="5"/>
  <c r="W22" i="5" s="1"/>
  <c r="J21" i="5"/>
  <c r="W21" i="5" s="1"/>
  <c r="J20" i="5"/>
  <c r="W20" i="5" s="1"/>
  <c r="J19" i="5"/>
  <c r="V19" i="5" s="1"/>
  <c r="J18" i="5"/>
  <c r="W18" i="5" s="1"/>
  <c r="J17" i="5"/>
  <c r="W17" i="5" s="1"/>
  <c r="J16" i="5"/>
  <c r="W16" i="5" s="1"/>
  <c r="J15" i="5"/>
  <c r="V15" i="5" s="1"/>
  <c r="J14" i="5"/>
  <c r="W14" i="5" s="1"/>
  <c r="J13" i="5"/>
  <c r="V13" i="5" s="1"/>
  <c r="J12" i="5"/>
  <c r="W12" i="5" s="1"/>
  <c r="J11" i="5"/>
  <c r="V11" i="5" s="1"/>
  <c r="J10" i="5"/>
  <c r="V10" i="5" s="1"/>
  <c r="J9" i="5"/>
  <c r="V9" i="5" s="1"/>
  <c r="J8" i="5"/>
  <c r="W8" i="5" s="1"/>
  <c r="J7" i="5"/>
  <c r="W7" i="5" s="1"/>
  <c r="J6" i="5"/>
  <c r="V6" i="5" s="1"/>
  <c r="N4" i="5"/>
  <c r="N6" i="5" s="1"/>
  <c r="J32" i="4"/>
  <c r="W32" i="4" s="1"/>
  <c r="J31" i="4"/>
  <c r="J30" i="4"/>
  <c r="J29" i="4"/>
  <c r="J28" i="4"/>
  <c r="J27" i="4"/>
  <c r="V27" i="4" s="1"/>
  <c r="J26" i="4"/>
  <c r="W26" i="4" s="1"/>
  <c r="J25" i="4"/>
  <c r="V25" i="4" s="1"/>
  <c r="J24" i="4"/>
  <c r="W24" i="4" s="1"/>
  <c r="J23" i="4"/>
  <c r="V23" i="4" s="1"/>
  <c r="J22" i="4"/>
  <c r="W22" i="4" s="1"/>
  <c r="J21" i="4"/>
  <c r="V21" i="4" s="1"/>
  <c r="J20" i="4"/>
  <c r="W20" i="4" s="1"/>
  <c r="J19" i="4"/>
  <c r="V19" i="4" s="1"/>
  <c r="J18" i="4"/>
  <c r="W18" i="4" s="1"/>
  <c r="J17" i="4"/>
  <c r="V17" i="4" s="1"/>
  <c r="J16" i="4"/>
  <c r="W16" i="4" s="1"/>
  <c r="J15" i="4"/>
  <c r="V15" i="4" s="1"/>
  <c r="J14" i="4"/>
  <c r="W14" i="4" s="1"/>
  <c r="J13" i="4"/>
  <c r="V13" i="4" s="1"/>
  <c r="J12" i="4"/>
  <c r="W12" i="4" s="1"/>
  <c r="J11" i="4"/>
  <c r="V11" i="4" s="1"/>
  <c r="J10" i="4"/>
  <c r="W10" i="4" s="1"/>
  <c r="J9" i="4"/>
  <c r="V9" i="4" s="1"/>
  <c r="J8" i="4"/>
  <c r="W8" i="4" s="1"/>
  <c r="J7" i="4"/>
  <c r="W7" i="4" s="1"/>
  <c r="J6" i="4"/>
  <c r="V6" i="4" s="1"/>
  <c r="N4" i="4"/>
  <c r="N6" i="4" s="1"/>
  <c r="J29" i="3"/>
  <c r="J30" i="3"/>
  <c r="J16" i="3"/>
  <c r="W16" i="3" s="1"/>
  <c r="J17" i="3"/>
  <c r="W17" i="3" s="1"/>
  <c r="J18" i="3"/>
  <c r="J19" i="3"/>
  <c r="J20" i="3"/>
  <c r="V20" i="3" s="1"/>
  <c r="J21" i="3"/>
  <c r="W21" i="3" s="1"/>
  <c r="J22" i="3"/>
  <c r="W22" i="3" s="1"/>
  <c r="J23" i="3"/>
  <c r="J24" i="3"/>
  <c r="W24" i="3" s="1"/>
  <c r="J25" i="3"/>
  <c r="W25" i="3" s="1"/>
  <c r="J26" i="3"/>
  <c r="V26" i="3" s="1"/>
  <c r="J27" i="3"/>
  <c r="J28" i="3"/>
  <c r="J31" i="3"/>
  <c r="J32" i="3"/>
  <c r="W32" i="3" s="1"/>
  <c r="V27" i="3"/>
  <c r="W26" i="3"/>
  <c r="V25" i="3"/>
  <c r="V23" i="3"/>
  <c r="V22" i="3"/>
  <c r="V19" i="3"/>
  <c r="W18" i="3"/>
  <c r="V18" i="3"/>
  <c r="V16" i="3"/>
  <c r="J15" i="3"/>
  <c r="V15" i="3" s="1"/>
  <c r="J14" i="3"/>
  <c r="V14" i="3" s="1"/>
  <c r="J13" i="3"/>
  <c r="V13" i="3" s="1"/>
  <c r="J12" i="3"/>
  <c r="W12" i="3" s="1"/>
  <c r="J11" i="3"/>
  <c r="V11" i="3" s="1"/>
  <c r="J10" i="3"/>
  <c r="V10" i="3" s="1"/>
  <c r="J9" i="3"/>
  <c r="V9" i="3" s="1"/>
  <c r="J8" i="3"/>
  <c r="V8" i="3" s="1"/>
  <c r="J7" i="3"/>
  <c r="W7" i="3" s="1"/>
  <c r="J6" i="3"/>
  <c r="V6" i="3" s="1"/>
  <c r="N4" i="3"/>
  <c r="J28" i="1"/>
  <c r="V28" i="1" s="1"/>
  <c r="J27" i="1"/>
  <c r="W27" i="1" s="1"/>
  <c r="J26" i="1"/>
  <c r="V26" i="1" s="1"/>
  <c r="J25" i="1"/>
  <c r="V25" i="1" s="1"/>
  <c r="J24" i="1"/>
  <c r="W24" i="1" s="1"/>
  <c r="J23" i="1"/>
  <c r="W23" i="1" s="1"/>
  <c r="J22" i="1"/>
  <c r="V22" i="1" s="1"/>
  <c r="J21" i="1"/>
  <c r="V21" i="1" s="1"/>
  <c r="J20" i="1"/>
  <c r="W20" i="1" s="1"/>
  <c r="J19" i="1"/>
  <c r="W19" i="1" s="1"/>
  <c r="J18" i="1"/>
  <c r="V18" i="1" s="1"/>
  <c r="J17" i="1"/>
  <c r="V17" i="1" s="1"/>
  <c r="J16" i="1"/>
  <c r="W16" i="1" s="1"/>
  <c r="J15" i="1"/>
  <c r="W15" i="1" s="1"/>
  <c r="J14" i="1"/>
  <c r="V14" i="1" s="1"/>
  <c r="J13" i="1"/>
  <c r="V13" i="1" s="1"/>
  <c r="J12" i="1"/>
  <c r="W12" i="1" s="1"/>
  <c r="J11" i="1"/>
  <c r="W11" i="1" s="1"/>
  <c r="J10" i="1"/>
  <c r="V10" i="1" s="1"/>
  <c r="J9" i="1"/>
  <c r="W9" i="1" s="1"/>
  <c r="J8" i="1"/>
  <c r="V8" i="1" s="1"/>
  <c r="J7" i="1"/>
  <c r="V7" i="1" s="1"/>
  <c r="J6" i="1"/>
  <c r="N4" i="1"/>
  <c r="V21" i="3" l="1"/>
  <c r="V18" i="5"/>
  <c r="V17" i="3"/>
  <c r="W20" i="3"/>
  <c r="V26" i="4"/>
  <c r="W13" i="5"/>
  <c r="V22" i="5"/>
  <c r="V24" i="3"/>
  <c r="W21" i="4"/>
  <c r="V24" i="4"/>
  <c r="V8" i="5"/>
  <c r="V14" i="5"/>
  <c r="V17" i="5"/>
  <c r="V21" i="5"/>
  <c r="V25" i="5"/>
  <c r="V20" i="1"/>
  <c r="W13" i="4"/>
  <c r="W25" i="4"/>
  <c r="V7" i="4"/>
  <c r="W17" i="4"/>
  <c r="V32" i="4"/>
  <c r="W9" i="5"/>
  <c r="W10" i="5"/>
  <c r="V7" i="5"/>
  <c r="V12" i="5"/>
  <c r="V16" i="5"/>
  <c r="V20" i="5"/>
  <c r="V24" i="5"/>
  <c r="V32" i="5"/>
  <c r="W6" i="5"/>
  <c r="W11" i="5"/>
  <c r="W15" i="5"/>
  <c r="W19" i="5"/>
  <c r="W23" i="5"/>
  <c r="W27" i="5"/>
  <c r="J33" i="5"/>
  <c r="W9" i="4"/>
  <c r="W6" i="4"/>
  <c r="V8" i="4"/>
  <c r="V10" i="4"/>
  <c r="V12" i="4"/>
  <c r="V14" i="4"/>
  <c r="V16" i="4"/>
  <c r="V18" i="4"/>
  <c r="V20" i="4"/>
  <c r="V22" i="4"/>
  <c r="J33" i="4"/>
  <c r="W11" i="4"/>
  <c r="W15" i="4"/>
  <c r="W19" i="4"/>
  <c r="W23" i="4"/>
  <c r="W27" i="4"/>
  <c r="W8" i="3"/>
  <c r="V32" i="3"/>
  <c r="V12" i="3"/>
  <c r="W9" i="3"/>
  <c r="W13" i="3"/>
  <c r="V7" i="3"/>
  <c r="W10" i="3"/>
  <c r="W14" i="3"/>
  <c r="W6" i="3"/>
  <c r="W11" i="3"/>
  <c r="W15" i="3"/>
  <c r="W19" i="3"/>
  <c r="W23" i="3"/>
  <c r="W27" i="3"/>
  <c r="J33" i="3"/>
  <c r="N6" i="3"/>
  <c r="V12" i="1"/>
  <c r="V16" i="1"/>
  <c r="V24" i="1"/>
  <c r="W28" i="1"/>
  <c r="W25" i="1"/>
  <c r="V11" i="1"/>
  <c r="W13" i="1"/>
  <c r="W17" i="1"/>
  <c r="W21" i="1"/>
  <c r="V9" i="1"/>
  <c r="V15" i="1"/>
  <c r="V19" i="1"/>
  <c r="V23" i="1"/>
  <c r="V27" i="1"/>
  <c r="W10" i="1"/>
  <c r="J29" i="1"/>
  <c r="W6" i="1"/>
  <c r="N6" i="1"/>
  <c r="V6" i="1"/>
  <c r="W7" i="1"/>
  <c r="W8" i="1"/>
  <c r="W14" i="1"/>
  <c r="W18" i="1"/>
  <c r="W22" i="1"/>
  <c r="W26" i="1"/>
  <c r="W33" i="5" l="1"/>
  <c r="P4" i="5" s="1"/>
  <c r="P6" i="5" s="1"/>
  <c r="V33" i="5"/>
  <c r="O4" i="5" s="1"/>
  <c r="R4" i="5" s="1"/>
  <c r="V33" i="4"/>
  <c r="O4" i="4" s="1"/>
  <c r="R4" i="4" s="1"/>
  <c r="W33" i="4"/>
  <c r="P4" i="4" s="1"/>
  <c r="P6" i="4" s="1"/>
  <c r="V33" i="3"/>
  <c r="O4" i="3" s="1"/>
  <c r="R4" i="3" s="1"/>
  <c r="W33" i="3"/>
  <c r="P4" i="3" s="1"/>
  <c r="V29" i="1"/>
  <c r="O4" i="1" s="1"/>
  <c r="R4" i="1" s="1"/>
  <c r="W29" i="1"/>
  <c r="P4" i="1" s="1"/>
  <c r="Q4" i="5" l="1"/>
  <c r="Q6" i="5" s="1"/>
  <c r="O6" i="5"/>
  <c r="R6" i="5" s="1"/>
  <c r="P8" i="5" s="1"/>
  <c r="O6" i="4"/>
  <c r="R6" i="4" s="1"/>
  <c r="P8" i="4" s="1"/>
  <c r="Q4" i="4"/>
  <c r="Q6" i="4" s="1"/>
  <c r="O6" i="3"/>
  <c r="R6" i="3" s="1"/>
  <c r="P8" i="3" s="1"/>
  <c r="P6" i="3"/>
  <c r="Q4" i="3"/>
  <c r="Q6" i="3" s="1"/>
  <c r="O6" i="1"/>
  <c r="R6" i="1" s="1"/>
  <c r="P8" i="1" s="1"/>
  <c r="P6" i="1"/>
  <c r="Q4" i="1"/>
  <c r="Q6" i="1" s="1"/>
</calcChain>
</file>

<file path=xl/sharedStrings.xml><?xml version="1.0" encoding="utf-8"?>
<sst xmlns="http://schemas.openxmlformats.org/spreadsheetml/2006/main" count="3918" uniqueCount="804">
  <si>
    <t>Back</t>
  </si>
  <si>
    <t xml:space="preserve">         </t>
  </si>
  <si>
    <t>Winnes Capital Line</t>
  </si>
  <si>
    <t>CALLS DETAILS</t>
  </si>
  <si>
    <t>TOTAL CALLS</t>
  </si>
  <si>
    <t>TGT HIT</t>
  </si>
  <si>
    <t>SL HIT</t>
  </si>
  <si>
    <t>BE EXIT</t>
  </si>
  <si>
    <t>ACCURACY</t>
  </si>
  <si>
    <t>Sr.</t>
  </si>
  <si>
    <t>DATE</t>
  </si>
  <si>
    <t>BUY/SELL</t>
  </si>
  <si>
    <t>SCRIPTS</t>
  </si>
  <si>
    <t>ENTRY</t>
  </si>
  <si>
    <t>EXIT</t>
  </si>
  <si>
    <t>POINTS</t>
  </si>
  <si>
    <t>QTY</t>
  </si>
  <si>
    <t>PROFIT</t>
  </si>
  <si>
    <t>BUY</t>
  </si>
  <si>
    <t>TOTAL</t>
  </si>
  <si>
    <t>Accuracy of the Month</t>
  </si>
  <si>
    <t xml:space="preserve"> </t>
  </si>
  <si>
    <t>www.winnerscapitalline.com</t>
  </si>
  <si>
    <t>Total</t>
  </si>
  <si>
    <t>↓↓↓↓↓</t>
  </si>
  <si>
    <t>Click any Month</t>
  </si>
  <si>
    <t>Year</t>
  </si>
  <si>
    <t>Month</t>
  </si>
  <si>
    <t>November</t>
  </si>
  <si>
    <t>December</t>
  </si>
  <si>
    <t>PERFORMANCE OF OPTION MACINE CALL</t>
  </si>
  <si>
    <t>OPTION MACINE CALL</t>
  </si>
  <si>
    <t>NTPC 157.50 PE</t>
  </si>
  <si>
    <t>RELINFRA 350 PE</t>
  </si>
  <si>
    <t>CADILAHC 360 CE</t>
  </si>
  <si>
    <t>DRREDDY 2500 PE</t>
  </si>
  <si>
    <t>RELIANCE 1120 PE</t>
  </si>
  <si>
    <t>BANKNIFTY 26100 PE</t>
  </si>
  <si>
    <t>ADANIPORT 360 PE</t>
  </si>
  <si>
    <t>HINDUNILVR 1720 PE</t>
  </si>
  <si>
    <t>KOTAKBANK 1160 PE</t>
  </si>
  <si>
    <t>RELIANCE 1160 PE</t>
  </si>
  <si>
    <t>HINDUNILVR 1780 PE</t>
  </si>
  <si>
    <t>INFY 660  PE</t>
  </si>
  <si>
    <t>TCS 1980 PE</t>
  </si>
  <si>
    <t>FEDRALBANK 85 CE</t>
  </si>
  <si>
    <t>BANKNIFTY 26200 PE</t>
  </si>
  <si>
    <t>RELINFRA 320 CE</t>
  </si>
  <si>
    <t>SUNPHARMA 430 CE</t>
  </si>
  <si>
    <t>DLF 185 PE</t>
  </si>
  <si>
    <t>RELIANCE 1100 PE</t>
  </si>
  <si>
    <t>L&amp;T 1400 PE</t>
  </si>
  <si>
    <t>LICHSGFIN 470 PE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</si>
  <si>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</si>
  <si>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</si>
  <si>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</si>
  <si>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</si>
  <si>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</si>
  <si>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</si>
  <si>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</si>
  <si>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</si>
  <si>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</si>
  <si>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</si>
  <si>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INDUSLBNK 1580 PE</t>
  </si>
  <si>
    <t>BANKNIFTY 26200 CE</t>
  </si>
  <si>
    <t>VEDL 198 PE</t>
  </si>
  <si>
    <t>YESBANK 200 PE</t>
  </si>
  <si>
    <t>RELIANCE 1220 PE</t>
  </si>
  <si>
    <t>BANKNIFTY 27000 CE</t>
  </si>
  <si>
    <t>YESBANK 190 PE</t>
  </si>
  <si>
    <t>RELIANCE 1260 PE</t>
  </si>
  <si>
    <t>NIFTY 10900 PE</t>
  </si>
  <si>
    <t>NIFTY 10600 PE</t>
  </si>
  <si>
    <t>RELIANCE 1240 PE</t>
  </si>
  <si>
    <t>BANKNIFTY 26800 PE</t>
  </si>
  <si>
    <t>NIFTY 11000 PE</t>
  </si>
  <si>
    <t>RELIANCE 1360 CE</t>
  </si>
  <si>
    <t>NIFTY 11400 CE</t>
  </si>
  <si>
    <t>BANKNIFTY 29100 CE</t>
  </si>
  <si>
    <t>NIFTY 11300 PE</t>
  </si>
  <si>
    <t>RELIANCE 1320 PE</t>
  </si>
  <si>
    <t>BANKNIFTY  30500 CALL</t>
  </si>
  <si>
    <t>BANKNIFTY 30500 CE</t>
  </si>
  <si>
    <t>RELIANCE 1340 PE</t>
  </si>
  <si>
    <t>AXISBANK 760 CE</t>
  </si>
  <si>
    <t>RELIANCE 1360 PE</t>
  </si>
  <si>
    <t>MARUTI 6800 CALL</t>
  </si>
  <si>
    <t>NIFTY 12100 CALL</t>
  </si>
  <si>
    <t>NIFTY 12000 PE</t>
  </si>
  <si>
    <t>RELIANCE 1320 CE</t>
  </si>
  <si>
    <t>BANKNIFTY 30700 CE</t>
  </si>
  <si>
    <t>TITAN 1340 CE</t>
  </si>
  <si>
    <t>MARUTI 6900 CE</t>
  </si>
  <si>
    <t>BANKNIFTY 31200 CE</t>
  </si>
  <si>
    <t>YESBANK 95 CE</t>
  </si>
  <si>
    <t>NIFTY 11100 CE</t>
  </si>
  <si>
    <t>SBIN 280 CE</t>
  </si>
  <si>
    <t>INDUSINDBK 1400 CE</t>
  </si>
  <si>
    <t>NIFTY 10800 PE</t>
  </si>
  <si>
    <t>TITAN 1120 CE</t>
  </si>
  <si>
    <t>AXISBANK 650 CE</t>
  </si>
  <si>
    <t>NIFTY 10800 CE</t>
  </si>
  <si>
    <t>NIFTY 11500 CE</t>
  </si>
  <si>
    <t>NIFTY 11500 PE</t>
  </si>
  <si>
    <t>RELIANCE 1300 CE</t>
  </si>
  <si>
    <t>NIFTY 11250 CE</t>
  </si>
  <si>
    <t>STAR 360 CE</t>
  </si>
  <si>
    <t>AXISBANK 690 PE</t>
  </si>
  <si>
    <t>RELIANCE 1460 CALL</t>
  </si>
  <si>
    <t>NIFTY 12000 CE</t>
  </si>
  <si>
    <t>SRF 3100 CE</t>
  </si>
  <si>
    <t>SUNTV 500 CE</t>
  </si>
  <si>
    <t>NIFTY 12050 CE</t>
  </si>
  <si>
    <t>NIFTY 11950CE</t>
  </si>
  <si>
    <t>HDFC 2320 PE</t>
  </si>
  <si>
    <t>LT 1300 PUT</t>
  </si>
  <si>
    <t>ICICIBANK 535 CE</t>
  </si>
  <si>
    <t>ULTRACEMCO 4050 CE</t>
  </si>
  <si>
    <t>NIFTY 12150 PE</t>
  </si>
  <si>
    <t>HDFC 2440 CE</t>
  </si>
  <si>
    <t>HDFC 2420 CE</t>
  </si>
  <si>
    <t>NIFTY 12200 PUT</t>
  </si>
  <si>
    <t>CANBK 210 PE</t>
  </si>
  <si>
    <t>RELIANCE 1560 CE</t>
  </si>
  <si>
    <t>MARUTI 7200 CE</t>
  </si>
  <si>
    <t>CANBK 220 PE</t>
  </si>
  <si>
    <t>AXISBANK 750 PE</t>
  </si>
  <si>
    <t>ONGC 100 CE</t>
  </si>
  <si>
    <t>CANBK 170 PE</t>
  </si>
  <si>
    <t>CANBK 135 PE</t>
  </si>
  <si>
    <t>CANBK 100 PE</t>
  </si>
  <si>
    <t>RELIANCE 1020 PE</t>
  </si>
  <si>
    <t>RELIANCE  1060 PE</t>
  </si>
  <si>
    <t>AXISBANK 380 PE</t>
  </si>
  <si>
    <t>INDUSINDBK 460 PE</t>
  </si>
  <si>
    <t>CANBK 80 PE</t>
  </si>
  <si>
    <t>RELIANCE 1060 PE</t>
  </si>
  <si>
    <t>BANKNIFTY 19500 PE</t>
  </si>
  <si>
    <t>COALINDIA 145 CE</t>
  </si>
  <si>
    <t>HDFCBANK 920 CE</t>
  </si>
  <si>
    <t>BANKNIFTY 19200 PE</t>
  </si>
  <si>
    <t>ICICIBANK 310 CE</t>
  </si>
  <si>
    <t>BANKNIFTY 17900 PE</t>
  </si>
  <si>
    <t>BANKNIFTY 19000 PE</t>
  </si>
  <si>
    <t>NIFTY 9400 PE</t>
  </si>
  <si>
    <t>CANBK 90 PE</t>
  </si>
  <si>
    <t>PVR 1250 CE</t>
  </si>
  <si>
    <t>BANKNIFTY 20400 PE</t>
  </si>
  <si>
    <t>BANKNIFTY 20500 PE</t>
  </si>
  <si>
    <t>PNB 34 CE</t>
  </si>
  <si>
    <t>RBLBANK 170 CE</t>
  </si>
  <si>
    <t>BANKNIFTY 20300 PE</t>
  </si>
  <si>
    <t>RELIANCE 1800 CE</t>
  </si>
  <si>
    <t>BANKNIFTY 21500 PUT</t>
  </si>
  <si>
    <t>RELIANCE 1780 PE</t>
  </si>
  <si>
    <t>RELIANCE 2100 CE</t>
  </si>
  <si>
    <t>RELIANCE 2020 CE</t>
  </si>
  <si>
    <t>NIFTY 11150 CE</t>
  </si>
  <si>
    <t>BAJFINANCE 3100 PE</t>
  </si>
  <si>
    <t>BAJFINANCE 3400 PE</t>
  </si>
  <si>
    <t>RECLTD 115 CE</t>
  </si>
  <si>
    <t>BAJFINANCE 3400 CE</t>
  </si>
  <si>
    <t>BANKNIFTY 23800 CE</t>
  </si>
  <si>
    <t>BANKNIFTY 23600 PE</t>
  </si>
  <si>
    <t>INDUSINDBK 620 CE</t>
  </si>
  <si>
    <t>BANKNIFTY 22400 PE</t>
  </si>
  <si>
    <t>BANKNIFTY 22200 PE</t>
  </si>
  <si>
    <t>BANKNIFTY 20600 PE</t>
  </si>
  <si>
    <t>BANKNIFTY 23500 CE</t>
  </si>
  <si>
    <t>MOTHERSUMI 115 CE</t>
  </si>
  <si>
    <t>BAJFINANCE 3250 PE</t>
  </si>
  <si>
    <t>BANKNIFTY 24400 CE</t>
  </si>
  <si>
    <t>RELIANCE 2000 CE</t>
  </si>
  <si>
    <t>BANKNIFTY 29200 PE</t>
  </si>
  <si>
    <t>RELIANCE 1880 PE</t>
  </si>
  <si>
    <t>BANKNIFTY 28500 PE</t>
  </si>
  <si>
    <t>30000 PE</t>
  </si>
  <si>
    <t>29400 PE</t>
  </si>
  <si>
    <t>MOTHERSUMI 150 PE</t>
  </si>
  <si>
    <t>BANKNIFTY 31000 CE</t>
  </si>
  <si>
    <t>BAJFINANCE 4900 PE</t>
  </si>
  <si>
    <t>MCDOWELL-N 630 CE</t>
  </si>
  <si>
    <t>BAJFINANCE 5100 CE</t>
  </si>
  <si>
    <t>BANKNIFTY 32600 PE</t>
  </si>
  <si>
    <t>BANKNIFTY 30800 PE</t>
  </si>
  <si>
    <t>BANKNIFTY 29500 PE</t>
  </si>
  <si>
    <t>NIFTY 14600 CE</t>
  </si>
  <si>
    <t>BRITANNIA 3400 PE</t>
  </si>
  <si>
    <t>HINDUNILVR 2220 PE</t>
  </si>
  <si>
    <t>BAJFINANCE 5600 CE</t>
  </si>
  <si>
    <t>BANKNIFTY 36300 CE</t>
  </si>
  <si>
    <t>VEDL 200 CE</t>
  </si>
  <si>
    <t>BANKNIFTY 36100 PE</t>
  </si>
  <si>
    <t>BANKNIFTY 37000 CE</t>
  </si>
  <si>
    <t>TATAMOTORS 340 CE</t>
  </si>
  <si>
    <t>BANKNIFTY 35800 PE</t>
  </si>
  <si>
    <t>ICICIBANK 630 CE</t>
  </si>
  <si>
    <t>RELIANCE 2120 CE</t>
  </si>
  <si>
    <t>BANKNIFTY 34000 PE</t>
  </si>
  <si>
    <t>BANKNIFTY 36200 CE</t>
  </si>
  <si>
    <t>BANKNIFTY 35900 PE</t>
  </si>
  <si>
    <t>SBIN 360 PE</t>
  </si>
  <si>
    <t>BANKNIFTY 32200 PE</t>
  </si>
  <si>
    <t>BANKNIFTY 32800 PE</t>
  </si>
  <si>
    <t>BEL 140 CE</t>
  </si>
  <si>
    <t>NIFTY 14850 CE</t>
  </si>
  <si>
    <t>BANKNIFTY 33500 CE</t>
  </si>
  <si>
    <t>RBL BANK 210 CE</t>
  </si>
  <si>
    <t>BANKNIFTY 32300 CE</t>
  </si>
  <si>
    <t>BANKNIFTY 30500 PE</t>
  </si>
  <si>
    <t>NIFTY 14500 PE</t>
  </si>
  <si>
    <t xml:space="preserve">BUY </t>
  </si>
  <si>
    <t>BAJFINANCE 4700 PE</t>
  </si>
  <si>
    <t>BANKNIFTY 33000 PE</t>
  </si>
  <si>
    <t>TECHM 1000 CE</t>
  </si>
  <si>
    <t>IBULHSGFIN 200 CE</t>
  </si>
  <si>
    <t>BANKNIFTY 32500 PE</t>
  </si>
  <si>
    <t>BANKNIFTY 32800 CE</t>
  </si>
  <si>
    <t>BAJFINANCE 5600 PE</t>
  </si>
  <si>
    <t>BANKNIFTY 33500 PE</t>
  </si>
  <si>
    <t>TCS 3200 CALL</t>
  </si>
  <si>
    <t>BANKNIFTY 34500 PE</t>
  </si>
  <si>
    <t>BANKNIFTY 35300 PE</t>
  </si>
  <si>
    <t>INFY 1440 CE</t>
  </si>
  <si>
    <t>ADANIPORTS 800 CE</t>
  </si>
  <si>
    <t>NIFTY 15500 PE</t>
  </si>
  <si>
    <t>BANKNIFTY 34600 PE</t>
  </si>
  <si>
    <t>NIFTY 15600 PE</t>
  </si>
  <si>
    <t>NIFTY 15850 CE</t>
  </si>
  <si>
    <t>BANKNIFTY 34700 PE</t>
  </si>
  <si>
    <t>MGL 1200 CE</t>
  </si>
  <si>
    <t>NIFTY 15800 PE</t>
  </si>
  <si>
    <t>BANKNIFTY 34900 CE</t>
  </si>
  <si>
    <t>HDFC 2500 CE</t>
  </si>
  <si>
    <t>BANKNIFTY 36000 CE</t>
  </si>
  <si>
    <t>BANKNIFTY 34200 PE</t>
  </si>
  <si>
    <t>TITAN 1840 CE</t>
  </si>
  <si>
    <t>BANKNIFTY 35600 PE</t>
  </si>
  <si>
    <t>AUBANK 1340 CE</t>
  </si>
  <si>
    <t>NIFTY 16200 PE</t>
  </si>
  <si>
    <t>BANKNIFTY 36100 CE</t>
  </si>
  <si>
    <t>NIFTY 16550 CE</t>
  </si>
  <si>
    <t>HDFCBANK 1540 CE</t>
  </si>
  <si>
    <t>COFORGE 5100 CE</t>
  </si>
  <si>
    <t>NIFTY 16550 PE</t>
  </si>
  <si>
    <t>3700 CE</t>
  </si>
  <si>
    <t>PNB 39 CE</t>
  </si>
  <si>
    <t>IRCTC 3200 CE</t>
  </si>
  <si>
    <t>IEX 600 CE</t>
  </si>
  <si>
    <t>36400 CE</t>
  </si>
  <si>
    <t>SUNTV 520 CE</t>
  </si>
  <si>
    <t>TORNTPOWER 510 CE</t>
  </si>
  <si>
    <t>37500 CE</t>
  </si>
  <si>
    <t>CIPLA 950 CE</t>
  </si>
  <si>
    <t>38000 CE</t>
  </si>
  <si>
    <t>INDUSTOWER 320 CE</t>
  </si>
  <si>
    <t>GODREJCP 1060 CE</t>
  </si>
  <si>
    <t>37500 PE</t>
  </si>
  <si>
    <t>BOSCHLTD 18500 CE</t>
  </si>
  <si>
    <t>18350 CE</t>
  </si>
  <si>
    <t>AUBANK 1280 CE</t>
  </si>
  <si>
    <t>DIXON 6200 CE</t>
  </si>
  <si>
    <t>40000 CE</t>
  </si>
  <si>
    <t>39800 CE</t>
  </si>
  <si>
    <t>LT 1860 CE</t>
  </si>
  <si>
    <t>TCS 4000 CE</t>
  </si>
  <si>
    <t>DEEPAKNTR 3000 CE</t>
  </si>
  <si>
    <t>VEDL 320 CE</t>
  </si>
  <si>
    <t>39100 CE</t>
  </si>
  <si>
    <t>AUBANK 1260 CE</t>
  </si>
  <si>
    <t>BATAINDIA 2020 CE</t>
  </si>
  <si>
    <t>DIXON 5200 CE</t>
  </si>
  <si>
    <t>39800 PE</t>
  </si>
  <si>
    <t>KOTAKBANK 2100 CE</t>
  </si>
  <si>
    <t>JKCEMENT 3700 CE</t>
  </si>
  <si>
    <t>DIXON 5500 CE</t>
  </si>
  <si>
    <t>DIXON 5800 CE</t>
  </si>
  <si>
    <t>RELIANCE 2600 CE</t>
  </si>
  <si>
    <t>PVR 1800 CE</t>
  </si>
  <si>
    <t>17750 PE</t>
  </si>
  <si>
    <t>NIFTY 16800 PE</t>
  </si>
  <si>
    <t>BANKNIFTY 37000 PE</t>
  </si>
  <si>
    <t>BANKNIFTY 37500 PE</t>
  </si>
  <si>
    <t>BANKNIFTY 39100 CE</t>
  </si>
  <si>
    <t>NESTLE 19500 CE</t>
  </si>
  <si>
    <t>INDHOTEL 200 CALL</t>
  </si>
  <si>
    <t>BANKNIFTY 36900 CE</t>
  </si>
  <si>
    <t>NIFTY 17300 CE</t>
  </si>
  <si>
    <t>BPCL 395 CE</t>
  </si>
  <si>
    <t>BANKNIFTY 36300 PE</t>
  </si>
  <si>
    <t>HAVELLS 1460 CE</t>
  </si>
  <si>
    <t>PNB 41 CE</t>
  </si>
  <si>
    <t>BANKNIFTY 37300 CE</t>
  </si>
  <si>
    <t>PERSISTENT 4700 CE</t>
  </si>
  <si>
    <t>PEL 2550 PE</t>
  </si>
  <si>
    <t>BAJFINANCE 6800 PE</t>
  </si>
  <si>
    <t>INDIGO 1940 PE</t>
  </si>
  <si>
    <t>BANKNIFTY 36500 PE</t>
  </si>
  <si>
    <t>PFIZER 5100 CE</t>
  </si>
  <si>
    <t>ABFRL 280 CE</t>
  </si>
  <si>
    <t>BANKNIFTY 35400 CE</t>
  </si>
  <si>
    <t>AMARAJABAT 620 CE</t>
  </si>
  <si>
    <t>AXISBANK 680 CE</t>
  </si>
  <si>
    <t>BANKNIFTY 35200 CE</t>
  </si>
  <si>
    <t>RBLBANK 140 CALL</t>
  </si>
  <si>
    <t>BALKRISIND 2360 CE</t>
  </si>
  <si>
    <t>BANKNIFTY 37600 CE</t>
  </si>
  <si>
    <t>BANKNIFTY 36800 PE</t>
  </si>
  <si>
    <t>BANKNIFTY 37800 CE</t>
  </si>
  <si>
    <t>CHOLAFIN 560 PE</t>
  </si>
  <si>
    <t>BANKNIFTY 39000 CE</t>
  </si>
  <si>
    <t>BANKNIFTY 38800 CE</t>
  </si>
  <si>
    <t>TATAPOWER 260 CE</t>
  </si>
  <si>
    <t>HINDUNILVR 2400 CE</t>
  </si>
  <si>
    <t>TATAMOTORS 550 CE</t>
  </si>
  <si>
    <t>NIFTY 18300 CE</t>
  </si>
  <si>
    <t>BANKNIFTY 38200 CE</t>
  </si>
  <si>
    <t>MARUTI 8200 CE</t>
  </si>
  <si>
    <t>RBLBANK 140 PE</t>
  </si>
  <si>
    <t>NIFTY 16900 PE</t>
  </si>
  <si>
    <t>BANKNIFTY 37200 PE</t>
  </si>
  <si>
    <t>BANKNIFTY 38000 CE</t>
  </si>
  <si>
    <t>NIFTY 18000 CE</t>
  </si>
  <si>
    <t>BANKNIFY 36500 PUT</t>
  </si>
  <si>
    <t>INDUSINDBK 1020 CE</t>
  </si>
  <si>
    <t>BANKNIFTY 38800 PE</t>
  </si>
  <si>
    <t>ICICBANK 840 CE</t>
  </si>
  <si>
    <t>TECHM 1500 CE</t>
  </si>
  <si>
    <t>TATASTEEL 1280 CE</t>
  </si>
  <si>
    <t>COROMANDEL 800 CE</t>
  </si>
  <si>
    <t>BANKBARODA 110 CE</t>
  </si>
  <si>
    <t>SBIN 500 PE</t>
  </si>
  <si>
    <t>DRREDDY 3900 PE</t>
  </si>
  <si>
    <t>BANKNIFTY 35000 PE</t>
  </si>
  <si>
    <t>BANKNIFTY 34900 PE</t>
  </si>
  <si>
    <t>ASIANPAINT 2800 PE</t>
  </si>
  <si>
    <t>BAJFINANCE 5800 PE</t>
  </si>
  <si>
    <t>BANKNIFTY 34000 CE</t>
  </si>
  <si>
    <t>DIXON 4400 CE</t>
  </si>
  <si>
    <t>ADANIPORTS 770 CE</t>
  </si>
  <si>
    <t>SAIL 100 CE</t>
  </si>
  <si>
    <t>DIXON 4300 CE</t>
  </si>
  <si>
    <t>BAJAJAUTO 3800 CE</t>
  </si>
  <si>
    <t>BHARTIARTL 780 CE</t>
  </si>
  <si>
    <t>BAJFINANCE 7300 CE</t>
  </si>
  <si>
    <t>MINDTREE 4500 CE</t>
  </si>
  <si>
    <t>ABFREL 320 CE</t>
  </si>
  <si>
    <t>UPL 840 CE</t>
  </si>
  <si>
    <t>BANKNIFTY 37400 PE</t>
  </si>
  <si>
    <t>BANKNIFTY 37700 PE</t>
  </si>
  <si>
    <t>MINDTREE 4300 CE</t>
  </si>
  <si>
    <t>BPCL 400 CE</t>
  </si>
  <si>
    <t>ADANIPORTS 900 CE</t>
  </si>
  <si>
    <t>BAJFINANCE 7200 CE</t>
  </si>
  <si>
    <t>BANKNIFTY 36400 PE</t>
  </si>
  <si>
    <t>INDIGO 1900 CE</t>
  </si>
  <si>
    <t>NIFTY 16850 PUT</t>
  </si>
  <si>
    <t>MINDTREE 3800 CE</t>
  </si>
  <si>
    <t>BANKNIFTY 33300 PE</t>
  </si>
  <si>
    <t>BAJFINANCE 5400 PE</t>
  </si>
  <si>
    <t>CHAMBALFERT 400 PE</t>
  </si>
  <si>
    <t>DIXON 3400 PE</t>
  </si>
  <si>
    <t>ASIANPAINT 3000 PE</t>
  </si>
  <si>
    <t>GUJGAS 550 PE</t>
  </si>
  <si>
    <t>ELCHERMOT 2760 CE</t>
  </si>
  <si>
    <t>TATACEM 1000 CE</t>
  </si>
  <si>
    <t>SRF 2400 CE</t>
  </si>
  <si>
    <t>ADANIPORTS 700 PE</t>
  </si>
  <si>
    <t>NIFTY 16050 PE</t>
  </si>
  <si>
    <t>ADANIENT 2300 CE</t>
  </si>
  <si>
    <t>35300 PE</t>
  </si>
  <si>
    <t>BAJAJFINSV 14000 CE</t>
  </si>
  <si>
    <t>APOLLOHOSP 3700 CE</t>
  </si>
  <si>
    <t>BANKNIFTY 35000 CE</t>
  </si>
  <si>
    <t>TCS 3150 PE</t>
  </si>
  <si>
    <t>RBLBANK 80 PE</t>
  </si>
  <si>
    <t>DRREDDY 4300 CE</t>
  </si>
  <si>
    <t>INDUSINDBK 740 PE</t>
  </si>
  <si>
    <t>APOLLOTYRE 195 CE</t>
  </si>
  <si>
    <t>BAJAJAUTO 3600 PE</t>
  </si>
  <si>
    <t>BANKNIFTY 33700 CE</t>
  </si>
  <si>
    <t>WIPRO 425 CE</t>
  </si>
  <si>
    <t>UBL 1560 CE</t>
  </si>
  <si>
    <t>TATASTEEL 880 CE</t>
  </si>
  <si>
    <t>BANKNIFTY 3500 CE</t>
  </si>
  <si>
    <t>DIXON 3550 PE</t>
  </si>
  <si>
    <t>APOLLOHOSP 3950 CE</t>
  </si>
  <si>
    <t>LT 1660 CE</t>
  </si>
  <si>
    <t>NIFTY 15900 PE</t>
  </si>
  <si>
    <t>BSOFT 300 PE</t>
  </si>
  <si>
    <t>POLYCAB 2250 CE</t>
  </si>
  <si>
    <t>TATAMOTORS 450 CE</t>
  </si>
  <si>
    <t>ADANIENT 2500 CE</t>
  </si>
  <si>
    <t>BANKNIFTY 36400 CE</t>
  </si>
  <si>
    <t>WIPRO 420 CE</t>
  </si>
  <si>
    <t>RELIANCE 2700 CE</t>
  </si>
  <si>
    <t>LT 1800 CE</t>
  </si>
  <si>
    <t>PERSISTENT 3650 CE</t>
  </si>
  <si>
    <t>BANKNIFTY 37400 CE</t>
  </si>
  <si>
    <t>TECHM 1060 CE</t>
  </si>
  <si>
    <t>MPHASIS 2400 CE</t>
  </si>
  <si>
    <t xml:space="preserve"> SAIL 79 CE</t>
  </si>
  <si>
    <t>DIXON 3900 CE</t>
  </si>
  <si>
    <t>BANKNIFTY 39500 CE</t>
  </si>
  <si>
    <t>BHARTIARTL 730 CE</t>
  </si>
  <si>
    <t>ADANIENT 3000 PE</t>
  </si>
  <si>
    <t>TATASTEEL 110 CE</t>
  </si>
  <si>
    <t>LUPIN 720 CE</t>
  </si>
  <si>
    <t>NIFTY 17700 CE</t>
  </si>
  <si>
    <t>TITAN 2600 CE</t>
  </si>
  <si>
    <t>TCS 3140 PE</t>
  </si>
  <si>
    <t>DIXON 4200 CE</t>
  </si>
  <si>
    <t>BANKNIFTY 40300 CE</t>
  </si>
  <si>
    <t>INDIAMART 5000 CE</t>
  </si>
  <si>
    <t>NIFTY 17850 PE</t>
  </si>
  <si>
    <t>LTTS 3500 CE</t>
  </si>
  <si>
    <t>ADANIPORTS 910 PE</t>
  </si>
  <si>
    <t>RELIANCE 2380 CE</t>
  </si>
  <si>
    <t>KOTAKBANK 1840 CE</t>
  </si>
  <si>
    <t>MGL 820 CE</t>
  </si>
  <si>
    <t>ADANIENT 3300 CE</t>
  </si>
  <si>
    <t>KOTAKBANK 1880 CE</t>
  </si>
  <si>
    <t>BAJFINANCE 8000 CE</t>
  </si>
  <si>
    <t>NIFTY 17450 PE</t>
  </si>
  <si>
    <t>NIFTY 17400 PUT</t>
  </si>
  <si>
    <t>BANKNIFTY 40100 CE</t>
  </si>
  <si>
    <t>ULTRAEMCO 6800 CE</t>
  </si>
  <si>
    <t>NIFTY 16950 PE</t>
  </si>
  <si>
    <t>BANKNIFTY 38500 PE</t>
  </si>
  <si>
    <t>BAJFINANE 7300 CE</t>
  </si>
  <si>
    <t>GLEMARK 420 CE</t>
  </si>
  <si>
    <t>ADANIENT 3600 CE</t>
  </si>
  <si>
    <t>BANKNIFTY 41400 CE</t>
  </si>
  <si>
    <t>CANFINHOME 550 CE</t>
  </si>
  <si>
    <t>BANKNIFTY 41300 PE</t>
  </si>
  <si>
    <t>OFSS 3100 CE</t>
  </si>
  <si>
    <t>NIFTY 18400 PE</t>
  </si>
  <si>
    <t>BANKNIFTY 42500 PE</t>
  </si>
  <si>
    <t>ADANIENT 4000 CE</t>
  </si>
  <si>
    <t>BAKNIFTY 42900 PE</t>
  </si>
  <si>
    <t>ASIANPAINT 3150 CE</t>
  </si>
  <si>
    <t>INDUSINDBK 1200 CE</t>
  </si>
  <si>
    <t>L&amp;TFH 100 CE</t>
  </si>
  <si>
    <t>LT 2120 CE</t>
  </si>
  <si>
    <t>BAKNIFTY 43400 CE</t>
  </si>
  <si>
    <t>APOLLOHOSP 4700 CE</t>
  </si>
  <si>
    <t>TATAOMM 1380 CE</t>
  </si>
  <si>
    <t>ADANIET 3850 PE</t>
  </si>
  <si>
    <t>NIFTY 18050 PE</t>
  </si>
  <si>
    <t>NIFTY 18000 PE</t>
  </si>
  <si>
    <t>DLF 370 PE</t>
  </si>
  <si>
    <t>NIFTY 17900 PE</t>
  </si>
  <si>
    <t>ADANIENT 3700 PE</t>
  </si>
  <si>
    <t>BANKNIFTY 41700 PE</t>
  </si>
  <si>
    <t>INFY 1500 CE</t>
  </si>
  <si>
    <t>NIFTY 18250 CE</t>
  </si>
  <si>
    <t>ADANIENT 3500 PE</t>
  </si>
  <si>
    <t>NIFTY 18100 CE</t>
  </si>
  <si>
    <t>BANKNIFTY 42400 CE</t>
  </si>
  <si>
    <t>ADANIENT 3400 PE</t>
  </si>
  <si>
    <t>BANKNIFTY 41500 PE</t>
  </si>
  <si>
    <t>BANKNIFTY 41900 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</si>
  <si>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</si>
  <si>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</si>
  <si>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</si>
  <si>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</si>
  <si>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</si>
  <si>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</si>
  <si>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</si>
  <si>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</si>
  <si>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</si>
  <si>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</si>
  <si>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</si>
  <si>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</si>
  <si>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NIFTY 17500 PE</t>
  </si>
  <si>
    <t>AXISBANK 880 PE</t>
  </si>
  <si>
    <t>BAJFIANCE 6200 CE</t>
  </si>
  <si>
    <t>BAKNIFTY 41100 PE</t>
  </si>
  <si>
    <t>BAKNIFTY 41300 PE</t>
  </si>
  <si>
    <t>ADANIENT 2200 CE</t>
  </si>
  <si>
    <t>HAL 2450 CE</t>
  </si>
  <si>
    <t>ADANIENT 1400 PE</t>
  </si>
  <si>
    <t>DIXON 2800 CE</t>
  </si>
  <si>
    <t>NIFTY 17400 PE</t>
  </si>
  <si>
    <t>BANKNIFTY 40500 PE</t>
  </si>
  <si>
    <t>ONGC 160 CE</t>
  </si>
  <si>
    <t>SBICARD 760 CE</t>
  </si>
  <si>
    <t>NIFTY 17650 PE</t>
  </si>
  <si>
    <t>MGL 1000 CE</t>
  </si>
  <si>
    <t>BANKNIFTY 38700 PE</t>
  </si>
  <si>
    <t>BANKNIFTY 39000 PE</t>
  </si>
  <si>
    <t>BANKNIFTY 38000 PE</t>
  </si>
  <si>
    <t>ADAIPORTS 670 CE</t>
  </si>
  <si>
    <t>BANKNIFTY 40200 CE</t>
  </si>
  <si>
    <t>BANKNIFTY 39800 PE</t>
  </si>
  <si>
    <t>APOLLOHOSP 4350 CE</t>
  </si>
  <si>
    <t>BANKNIFTY 39700 PE</t>
  </si>
  <si>
    <t>NIFTY 17050 CE</t>
  </si>
  <si>
    <t>BANKNIFTY 41100 CE</t>
  </si>
  <si>
    <t>BANKNIFTY 40900 PE</t>
  </si>
  <si>
    <t>BAJFINACE 5800 PE</t>
  </si>
  <si>
    <t>HAVELLS 1180 PE</t>
  </si>
  <si>
    <t>NIFTY 17750 PE</t>
  </si>
  <si>
    <t>ELCHERMOT 3000 CE</t>
  </si>
  <si>
    <t>NIFTY 17600 PE</t>
  </si>
  <si>
    <t>AUBANK 660 PE</t>
  </si>
  <si>
    <t>SIEMENS 3400 CE</t>
  </si>
  <si>
    <t>TATASTEEL 115 CE</t>
  </si>
  <si>
    <t>NIFTY 18150 CE</t>
  </si>
  <si>
    <t>INDUSINDBK 1150 CE</t>
  </si>
  <si>
    <t>BAKNIFTY 43700 CE</t>
  </si>
  <si>
    <t>BANKNIFTY 43800 PE</t>
  </si>
  <si>
    <t>NIFTY 18200 PE</t>
  </si>
  <si>
    <t>HDFCBANK 1640 CE</t>
  </si>
  <si>
    <t>DRREDDY 4500 CE</t>
  </si>
  <si>
    <t>ICICIBANK 950 PE</t>
  </si>
  <si>
    <t>BANKNIFTY 43400 PE</t>
  </si>
  <si>
    <t>NIFTY 18250 PE</t>
  </si>
  <si>
    <t>PVRINOX 1420 CE</t>
  </si>
  <si>
    <t>ASIANPAINT 3200 CE</t>
  </si>
  <si>
    <t>NIFTY 18550 PE</t>
  </si>
  <si>
    <t>BAKNIFTY 43900 PE</t>
  </si>
  <si>
    <t>NAUKRI 4300 CE</t>
  </si>
  <si>
    <t>APOLLOHOSP 5000 CE</t>
  </si>
  <si>
    <t>HAL 3550 CE</t>
  </si>
  <si>
    <t>HAL 4000 CE</t>
  </si>
  <si>
    <t>BANKNIFTY 44400 CE</t>
  </si>
  <si>
    <t>TATAMOTORS 600 CE</t>
  </si>
  <si>
    <t>APOLLOHOSP 5100 CE</t>
  </si>
  <si>
    <t>NIFTY 18750 CE</t>
  </si>
  <si>
    <t>BANKNIFTY 43500 PE</t>
  </si>
  <si>
    <t>DIXON 4700 CE</t>
  </si>
  <si>
    <t>MOTHERSO 85 CE</t>
  </si>
  <si>
    <t>BANKNIFTY 44100 CE</t>
  </si>
  <si>
    <t>BHARTIARTL 850 CE</t>
  </si>
  <si>
    <t>BAKNIFTY 44500 CE</t>
  </si>
  <si>
    <t>NIFTY 19000 CE</t>
  </si>
  <si>
    <t>BAJFINANCE 7400 CE</t>
  </si>
  <si>
    <t>MUTHOOTFIN 1280 CE</t>
  </si>
  <si>
    <t>NIFTY 19500 CE</t>
  </si>
  <si>
    <t>BANKNIFTY 45400 CE</t>
  </si>
  <si>
    <t>NAUKRI 4600 CE</t>
  </si>
  <si>
    <t>NIFTY 19500 PE</t>
  </si>
  <si>
    <t>MOTHERSON 96 CE</t>
  </si>
  <si>
    <t>SRF 2240 CE</t>
  </si>
  <si>
    <t>POLYCAB 4050 CE</t>
  </si>
  <si>
    <t>ASIANPAINT 3520 CE</t>
  </si>
  <si>
    <t>TATAMOTORS 630 CE</t>
  </si>
  <si>
    <t>BAJFINANCE 7650 CE</t>
  </si>
  <si>
    <t>VEDL 280 CE</t>
  </si>
  <si>
    <t>BANKNIFTY 46400 CE</t>
  </si>
  <si>
    <t>NIFTY 19700 PE</t>
  </si>
  <si>
    <t>BANKNIFTY 45500 PE</t>
  </si>
  <si>
    <t>BANDHANBNK 230 CE</t>
  </si>
  <si>
    <t>ATUL 7000 CE</t>
  </si>
  <si>
    <t>TATACOMM 1800 CE</t>
  </si>
  <si>
    <t>BANKNIFTY 44300 PE</t>
  </si>
  <si>
    <t>ACC 2020 CE</t>
  </si>
  <si>
    <t>NIFTY 19600 CE</t>
  </si>
  <si>
    <t>BANKIFTY 44800 CE</t>
  </si>
  <si>
    <t>NIFTY 19350 PE</t>
  </si>
  <si>
    <t>DIXON 4750 CE</t>
  </si>
  <si>
    <t>ULTRACEMCO 8200 CE</t>
  </si>
  <si>
    <t>NIFTY 19300 PE</t>
  </si>
  <si>
    <t>PERSISTENT 5000 CE</t>
  </si>
  <si>
    <t>AXISBANK 980 CE</t>
  </si>
  <si>
    <t>BANKNIFTY 44500 PE</t>
  </si>
  <si>
    <t>NIFTY 19400 PE</t>
  </si>
  <si>
    <t>GODREJPROP 1660 CE</t>
  </si>
  <si>
    <t>BAKIFTY 43800 PE</t>
  </si>
  <si>
    <t>NIFTY 19250 PE</t>
  </si>
  <si>
    <t>BANKNIFTY 43900 PE</t>
  </si>
  <si>
    <t>LTIM 5300 CE</t>
  </si>
  <si>
    <t>HAL 4200 CE</t>
  </si>
  <si>
    <t>ONGC 188 CE</t>
  </si>
  <si>
    <t>TATAMOTORS 650 CE</t>
  </si>
  <si>
    <t>MARUTI 10600 CE</t>
  </si>
  <si>
    <t>LTIM 5400 CE</t>
  </si>
  <si>
    <t>M&amp;M 1560 CE</t>
  </si>
  <si>
    <t>DIXON 5000 PE</t>
  </si>
  <si>
    <t>DEEPAKNTR 2120 CE</t>
  </si>
  <si>
    <t>MCX 2200 CE</t>
  </si>
  <si>
    <t>DIXON 5400 CE</t>
  </si>
  <si>
    <t>TATAMOTORS 670 CE</t>
  </si>
  <si>
    <t>DIXON 5500 PE</t>
  </si>
  <si>
    <t>LTIM 5300 PE</t>
  </si>
  <si>
    <t>INDUSINDBK 1460 CE</t>
  </si>
  <si>
    <t>POLYCAB 5050 CE</t>
  </si>
  <si>
    <t>DELTACORP 140 CE</t>
  </si>
  <si>
    <t>HAL 2000 CE</t>
  </si>
  <si>
    <t>HAL 2150 CE</t>
  </si>
  <si>
    <t>ADANIENT 2250 CE</t>
  </si>
  <si>
    <t>DIXON 5600 CE</t>
  </si>
  <si>
    <t>HAL 2450 PE</t>
  </si>
  <si>
    <t>DIXON 6600 CE</t>
  </si>
  <si>
    <t>ACC 2260 CE</t>
  </si>
  <si>
    <t>ADANIENT 3100 CE</t>
  </si>
  <si>
    <t>DIXON 6400 CE</t>
  </si>
  <si>
    <t>DRREDDY 5650 CE</t>
  </si>
  <si>
    <t>GNFC 760 CE</t>
  </si>
  <si>
    <t>DIXON 6500 CE</t>
  </si>
  <si>
    <t>AXISBANK 1100 PE</t>
  </si>
  <si>
    <t>DIXON 6350 CE</t>
  </si>
  <si>
    <t>SREECEM 2700 CE</t>
  </si>
  <si>
    <t>PNB 116 CE</t>
  </si>
  <si>
    <t>DRREDDY 6100 CE</t>
  </si>
  <si>
    <t>RELIANCE 2860 PE</t>
  </si>
  <si>
    <t>DIXON 6250 CE</t>
  </si>
  <si>
    <t>DIXON 6450 CE</t>
  </si>
  <si>
    <t>GMRINFRA 95 CE</t>
  </si>
  <si>
    <t>HAL 2950 CE</t>
  </si>
  <si>
    <t>POLYCAB 4600 CE</t>
  </si>
  <si>
    <t>PERFORMANCE OF OPTION MACHINE CALL</t>
  </si>
  <si>
    <t>AUROPHARMA 1050 CE</t>
  </si>
  <si>
    <t>DIXON 6600 PE</t>
  </si>
  <si>
    <t>GMRINFRA 97 CE</t>
  </si>
  <si>
    <t>HAL 3000 CE</t>
  </si>
  <si>
    <t>DIXON 6800 CE</t>
  </si>
  <si>
    <t>DIXON 6900 CE</t>
  </si>
  <si>
    <t>DIXON 7200 CE</t>
  </si>
  <si>
    <t>DIXON 7000 PE</t>
  </si>
  <si>
    <t>DIXON 7000 CE</t>
  </si>
  <si>
    <t>DIXON 7100 CE</t>
  </si>
  <si>
    <t>DIXON 7800 CE</t>
  </si>
  <si>
    <t>ABBOTINDIA 27000 CE</t>
  </si>
  <si>
    <t>DIXON 7700 CE</t>
  </si>
  <si>
    <t>MARUTI 12600 CE</t>
  </si>
  <si>
    <t>DIXON 7600 CE</t>
  </si>
  <si>
    <t>IDEA 15 CE</t>
  </si>
  <si>
    <t>PNB 131 CE</t>
  </si>
  <si>
    <t>DIXON 8400 PE</t>
  </si>
  <si>
    <t>ASTRAL 2200 CE</t>
  </si>
  <si>
    <t>S</t>
  </si>
  <si>
    <t>DIXON 8500 CE</t>
  </si>
  <si>
    <t>NAVINFLOUR 3500 CE</t>
  </si>
  <si>
    <t>DIXON 8300 CE</t>
  </si>
  <si>
    <t>DIXON 8200 CE</t>
  </si>
  <si>
    <t>DIXON 8800 PE</t>
  </si>
  <si>
    <t>SAIL 175 CE</t>
  </si>
  <si>
    <t>DIXON 9400 CE</t>
  </si>
  <si>
    <t>ADANIENT 3450 CE</t>
  </si>
  <si>
    <t>PNB 130 CE</t>
  </si>
  <si>
    <t>IDFCFIRSTBK 79 CE</t>
  </si>
  <si>
    <t>DIXON 9200 CE</t>
  </si>
  <si>
    <t>OFSS 8100 CE</t>
  </si>
  <si>
    <t>DIXON 9800 CE</t>
  </si>
  <si>
    <t>COFORGE 5500 CE</t>
  </si>
  <si>
    <t>BOSCHLTD 31000 CE</t>
  </si>
  <si>
    <t>HDFCAMC 3800 CE</t>
  </si>
  <si>
    <t>DIXON 10500 CE</t>
  </si>
  <si>
    <t>HAL 5500 CE</t>
  </si>
  <si>
    <t>DIXON 11500 CE</t>
  </si>
  <si>
    <t>BOSCHLTD 34000 CE</t>
  </si>
  <si>
    <t>OFSS 9900 CE</t>
  </si>
  <si>
    <t>ZYDUSLIFE 1080 CE</t>
  </si>
  <si>
    <t>GODREJPROP 3350 CE</t>
  </si>
  <si>
    <t>DIXON 1300 CE</t>
  </si>
  <si>
    <t>CHAMBAL FERT 600 CE</t>
  </si>
  <si>
    <t>ONGC 300 CE</t>
  </si>
  <si>
    <t>ICICIPRULI 650 CE</t>
  </si>
  <si>
    <t>POLYCAB 6450 CE</t>
  </si>
  <si>
    <t>HAL 5700 CE</t>
  </si>
  <si>
    <t>TITAN 3200 CE</t>
  </si>
  <si>
    <t>NTPC 390 CE</t>
  </si>
  <si>
    <t>HAL 4800 PE</t>
  </si>
  <si>
    <t>DIXON 11400 PE</t>
  </si>
  <si>
    <t>OFSS 11800 CE</t>
  </si>
  <si>
    <t>DIXON 12000 CE</t>
  </si>
  <si>
    <t>DIXON 11900 CE</t>
  </si>
  <si>
    <t>DIXON 12000 PE</t>
  </si>
  <si>
    <t>HAL 4700 PE</t>
  </si>
  <si>
    <t>HINDUNLVR 2800 CE</t>
  </si>
  <si>
    <t>INDIGO 4450 CE</t>
  </si>
  <si>
    <t>GAIL 230 CE</t>
  </si>
  <si>
    <t>DIXON 12300 PE</t>
  </si>
  <si>
    <t>ACC 2400 CE</t>
  </si>
  <si>
    <t>AMBUJACEM 620 CE</t>
  </si>
  <si>
    <t>TITAN 3760 CE</t>
  </si>
  <si>
    <t>ACC 2500 CE</t>
  </si>
  <si>
    <t>DIXON 13900 PE</t>
  </si>
  <si>
    <t>HAL 4500 PE</t>
  </si>
  <si>
    <t>DIXON 14000 PE</t>
  </si>
  <si>
    <t>LUPIN 2100 PE</t>
  </si>
  <si>
    <t>LT 3700 CE</t>
  </si>
  <si>
    <t>DIXON 12900 CE</t>
  </si>
  <si>
    <t>ABB 8000 CE</t>
  </si>
  <si>
    <t>ABB 8200 CE</t>
  </si>
  <si>
    <t>DIXON 14000 CE</t>
  </si>
  <si>
    <t>IDEA 10 CE</t>
  </si>
  <si>
    <t>INDUSINDBK 1380 CE</t>
  </si>
  <si>
    <t>DIVISLAB 6300 CE</t>
  </si>
  <si>
    <t>DIXON 14800 PE</t>
  </si>
  <si>
    <t>BAJFINANCE 7000 CE</t>
  </si>
  <si>
    <t>HAL 4400 PE</t>
  </si>
  <si>
    <t>DIXON 16250 CE</t>
  </si>
  <si>
    <t>MGL 1500 CE</t>
  </si>
  <si>
    <t>TRENT 6400 CE</t>
  </si>
  <si>
    <t>HAL 4100 PE</t>
  </si>
  <si>
    <t>TRENT 6500 PE</t>
  </si>
  <si>
    <t>HAL 4400 CE</t>
  </si>
  <si>
    <t>ZYDUSLIFE 980 CE</t>
  </si>
  <si>
    <t>OFSS 12250 CE</t>
  </si>
  <si>
    <t>DIXON 17500 CE</t>
  </si>
  <si>
    <t>DIXON 17000 PE</t>
  </si>
  <si>
    <t>BAJAJFINSV 1660 CE</t>
  </si>
  <si>
    <t>COFORGE 9200 CE</t>
  </si>
  <si>
    <t>PERSISTENT 6500 CE</t>
  </si>
  <si>
    <t>INDUSINDBK 1000 CE</t>
  </si>
  <si>
    <t>DIXON 19000 PE</t>
  </si>
  <si>
    <t>POLICYBZT 2100 PE</t>
  </si>
  <si>
    <t>OFSS 13000 CE</t>
  </si>
  <si>
    <t>DIXON 19000 CE</t>
  </si>
  <si>
    <t>COFORGE 9400 PE</t>
  </si>
  <si>
    <t>RECLTD 470 CE</t>
  </si>
  <si>
    <t>DMART 3500 CE</t>
  </si>
  <si>
    <t>OFSS 10000 CE</t>
  </si>
  <si>
    <t>TRENT 6200 CE</t>
  </si>
  <si>
    <t>DIXON 15500 CE</t>
  </si>
  <si>
    <t>LODHA 1080 PE</t>
  </si>
  <si>
    <t>COFORGE 9200 PE</t>
  </si>
  <si>
    <t>TRENT 5600 PE</t>
  </si>
  <si>
    <t>UBL 2000 PE</t>
  </si>
  <si>
    <t>LT 3400 PE</t>
  </si>
  <si>
    <t>CDSL 1300 CE</t>
  </si>
  <si>
    <t>ULTRACEMCO 11800 CE</t>
  </si>
  <si>
    <t>ZOMATO 230 PE</t>
  </si>
  <si>
    <t>LODHA 1260 PE</t>
  </si>
  <si>
    <t>TATAELXSI 6500 CE</t>
  </si>
  <si>
    <t>ANGELONE 2300 CE</t>
  </si>
  <si>
    <t>HAL 3700 CE</t>
  </si>
  <si>
    <t>QTY 1 LOT</t>
  </si>
  <si>
    <t>HAL 3400 PE</t>
  </si>
  <si>
    <t>CDSL 1220 CE</t>
  </si>
  <si>
    <t>GODREJCP 1040 CE</t>
  </si>
  <si>
    <t>ABBOTINDIA 28500 PE</t>
  </si>
  <si>
    <t>BHARTIARTL 1600 PE</t>
  </si>
  <si>
    <t>BAJFINANCE 8400 CE</t>
  </si>
  <si>
    <t>MARUTI 12000 PE</t>
  </si>
  <si>
    <t>SHRIRAMFIN 600 CE</t>
  </si>
  <si>
    <t>ULTRACEMCO 10000 PE</t>
  </si>
  <si>
    <t>ANGELONE 1900 PE</t>
  </si>
  <si>
    <t>SRF 2900 CE</t>
  </si>
  <si>
    <t>TRENT 4800 CE</t>
  </si>
  <si>
    <t>DIXON 13000 PE</t>
  </si>
  <si>
    <t>TCS 3550 PE</t>
  </si>
  <si>
    <t>BAJAJAUTO 7500 CE</t>
  </si>
  <si>
    <t>CDSL 1100 PE</t>
  </si>
  <si>
    <t>KEI 3000 CE</t>
  </si>
  <si>
    <t>COFORGE 7800 CE</t>
  </si>
  <si>
    <t>ZAMOTO 210 CE</t>
  </si>
  <si>
    <t>DIVISLAB 5600 PE</t>
  </si>
  <si>
    <t>COFORGE 7400 PE</t>
  </si>
  <si>
    <t>BSE 5200 CE</t>
  </si>
  <si>
    <t>TRENT 4600 PE</t>
  </si>
  <si>
    <t>SHRIRAMFIN 640 CE</t>
  </si>
  <si>
    <t>TORNTPHARM 3200 CE</t>
  </si>
  <si>
    <t>CAMS 3900 CE</t>
  </si>
  <si>
    <t>DMART 4300 CE</t>
  </si>
  <si>
    <t>COFORGE 7500 CE</t>
  </si>
  <si>
    <t>HAL 4700 CE</t>
  </si>
  <si>
    <t>HDFCBANK 1940 PE</t>
  </si>
  <si>
    <t>DMART 4000 CE</t>
  </si>
  <si>
    <t>DIXON 16000 PE</t>
  </si>
  <si>
    <t>PATANJALI 1800 PE</t>
  </si>
  <si>
    <t>BSE 7000 CE</t>
  </si>
  <si>
    <t>DIXON 17000 CE</t>
  </si>
  <si>
    <t>OFSS 8600 CE</t>
  </si>
  <si>
    <t>PNB 102 CE</t>
  </si>
  <si>
    <t>CGPOWER 700 CE</t>
  </si>
  <si>
    <t>CDSL 1540 CE</t>
  </si>
  <si>
    <t>MARUTI 12300 PE</t>
  </si>
  <si>
    <t>HAL 5100 CE</t>
  </si>
  <si>
    <t>ANGELONE 3250 CE</t>
  </si>
  <si>
    <t>KEI 3700 CE</t>
  </si>
  <si>
    <t>SOLARINDS 1700 CE</t>
  </si>
  <si>
    <t>SUPREMEIND 4400 CE</t>
  </si>
  <si>
    <t>DIXON 14500 PE</t>
  </si>
  <si>
    <t>JUBLFOOD 700 CE</t>
  </si>
  <si>
    <t>BAJFINANCE 890 PE</t>
  </si>
  <si>
    <t>MCX 8100 CE</t>
  </si>
  <si>
    <t>CDSL 1740 CE</t>
  </si>
  <si>
    <t>ONGC 245 PUT</t>
  </si>
  <si>
    <t>CUMMINSIND 3400 CE</t>
  </si>
  <si>
    <t>IGL 220 CE</t>
  </si>
  <si>
    <t>OIL 460 CE</t>
  </si>
  <si>
    <t>PIIND 4250 CE</t>
  </si>
  <si>
    <t>IIFL 500 CE</t>
  </si>
  <si>
    <t>MCX 8500 PE</t>
  </si>
  <si>
    <t>NTPC 340 CE</t>
  </si>
  <si>
    <t>ULTRACEMO 12600 CE</t>
  </si>
  <si>
    <t>TECHM 1600 PE</t>
  </si>
  <si>
    <t>PFC 430 CE</t>
  </si>
  <si>
    <t>ANGELONE 2600 PE</t>
  </si>
  <si>
    <t>BLUESTARCO 1900 CE</t>
  </si>
  <si>
    <t>VBL 460 CE</t>
  </si>
  <si>
    <t>MAZDOCK 3100 PE</t>
  </si>
  <si>
    <t>DALBHARAT 2240 CE</t>
  </si>
  <si>
    <t>CUMMINSIND 3600 CE</t>
  </si>
  <si>
    <t>RECLTD 400 CE</t>
  </si>
  <si>
    <t>TORNTPHARMA 3600 CE</t>
  </si>
  <si>
    <t>SIEMENS 3050 PE</t>
  </si>
  <si>
    <t>OFSS 8700 PE</t>
  </si>
  <si>
    <t>TATACONSUM 1080 CE</t>
  </si>
  <si>
    <t>PAGEIND 50000 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</si>
</sst>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/yy;@"/>
    <numFmt numFmtId="165" formatCode="0_ ;[Red]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20"/>
      <color indexed="9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8"/>
      <color rgb="FF00B050"/>
      <name val="Calibri"/>
      <family val="2"/>
      <scheme val="minor"/>
    </font>
    <font>
      <b/>
      <sz val="36"/>
      <name val="Calibri"/>
      <family val="2"/>
      <scheme val="minor"/>
    </font>
    <font>
      <b/>
      <u/>
      <sz val="18"/>
      <color theme="10"/>
      <name val="Calibri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72"/>
      <color rgb="FFFF0000"/>
      <name val="Calibri"/>
      <family val="2"/>
      <scheme val="minor"/>
    </font>
    <font>
      <b/>
      <sz val="70"/>
      <color rgb="FFFF0000"/>
      <name val="Calibri"/>
      <family val="2"/>
      <scheme val="minor"/>
    </font>
    <font>
      <b/>
      <sz val="28"/>
      <color rgb="FFFFC000"/>
      <name val="Calibri"/>
      <family val="2"/>
    </font>
    <font>
      <b/>
      <sz val="28"/>
      <color rgb="FFFFC000"/>
      <name val="Calibri"/>
      <family val="2"/>
      <scheme val="minor"/>
    </font>
    <font>
      <b/>
      <u/>
      <sz val="20"/>
      <color theme="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7" fillId="0" borderId="0"/>
  </cellStyleXfs>
  <cellXfs count="146">
    <xf numFmtId="0" fontId="0" fillId="0" borderId="0" xfId="0"/>
    <xf numFmtId="0" fontId="0" fillId="2" borderId="1" xfId="0" applyFill="1" applyBorder="1" applyAlignment="1">
      <alignment shrinkToFit="1"/>
    </xf>
    <xf numFmtId="0" fontId="0" fillId="2" borderId="2" xfId="0" applyFill="1" applyBorder="1" applyAlignment="1">
      <alignment shrinkToFit="1"/>
    </xf>
    <xf numFmtId="1" fontId="0" fillId="2" borderId="2" xfId="0" applyNumberFormat="1" applyFill="1" applyBorder="1" applyAlignment="1">
      <alignment shrinkToFit="1"/>
    </xf>
    <xf numFmtId="0" fontId="0" fillId="2" borderId="3" xfId="0" applyFill="1" applyBorder="1" applyAlignment="1">
      <alignment shrinkToFit="1"/>
    </xf>
    <xf numFmtId="0" fontId="0" fillId="3" borderId="0" xfId="0" applyFill="1" applyAlignment="1">
      <alignment shrinkToFit="1"/>
    </xf>
    <xf numFmtId="0" fontId="0" fillId="2" borderId="5" xfId="0" applyFill="1" applyBorder="1" applyAlignment="1">
      <alignment shrinkToFit="1"/>
    </xf>
    <xf numFmtId="0" fontId="0" fillId="2" borderId="9" xfId="0" applyFill="1" applyBorder="1" applyAlignment="1">
      <alignment shrinkToFit="1"/>
    </xf>
    <xf numFmtId="0" fontId="9" fillId="11" borderId="21" xfId="0" applyFont="1" applyFill="1" applyBorder="1" applyAlignment="1">
      <alignment horizontal="center" shrinkToFit="1"/>
    </xf>
    <xf numFmtId="49" fontId="9" fillId="11" borderId="22" xfId="0" applyNumberFormat="1" applyFont="1" applyFill="1" applyBorder="1" applyAlignment="1">
      <alignment horizontal="center" shrinkToFit="1"/>
    </xf>
    <xf numFmtId="0" fontId="10" fillId="11" borderId="22" xfId="0" applyFont="1" applyFill="1" applyBorder="1" applyAlignment="1">
      <alignment horizontal="center" shrinkToFit="1"/>
    </xf>
    <xf numFmtId="0" fontId="9" fillId="11" borderId="22" xfId="0" applyFont="1" applyFill="1" applyBorder="1" applyAlignment="1">
      <alignment horizontal="center" shrinkToFit="1"/>
    </xf>
    <xf numFmtId="1" fontId="9" fillId="11" borderId="22" xfId="0" applyNumberFormat="1" applyFont="1" applyFill="1" applyBorder="1" applyAlignment="1">
      <alignment horizontal="center" shrinkToFit="1"/>
    </xf>
    <xf numFmtId="1" fontId="9" fillId="11" borderId="23" xfId="0" applyNumberFormat="1" applyFont="1" applyFill="1" applyBorder="1" applyAlignment="1">
      <alignment horizontal="center" shrinkToFit="1"/>
    </xf>
    <xf numFmtId="0" fontId="0" fillId="0" borderId="17" xfId="0" applyBorder="1" applyAlignment="1">
      <alignment horizontal="center" shrinkToFit="1"/>
    </xf>
    <xf numFmtId="14" fontId="0" fillId="0" borderId="18" xfId="0" applyNumberFormat="1" applyBorder="1" applyAlignment="1">
      <alignment horizontal="center" shrinkToFit="1"/>
    </xf>
    <xf numFmtId="1" fontId="0" fillId="0" borderId="18" xfId="0" applyNumberFormat="1" applyBorder="1" applyAlignment="1">
      <alignment horizontal="center" shrinkToFit="1"/>
    </xf>
    <xf numFmtId="165" fontId="0" fillId="0" borderId="18" xfId="0" applyNumberFormat="1" applyBorder="1" applyAlignment="1">
      <alignment horizontal="center" shrinkToFit="1"/>
    </xf>
    <xf numFmtId="1" fontId="0" fillId="0" borderId="28" xfId="0" applyNumberFormat="1" applyBorder="1" applyAlignment="1">
      <alignment horizontal="center" shrinkToFit="1"/>
    </xf>
    <xf numFmtId="0" fontId="0" fillId="0" borderId="24" xfId="0" applyBorder="1" applyAlignment="1">
      <alignment horizontal="center" shrinkToFit="1"/>
    </xf>
    <xf numFmtId="14" fontId="0" fillId="0" borderId="25" xfId="0" applyNumberFormat="1" applyBorder="1" applyAlignment="1">
      <alignment horizontal="center" shrinkToFit="1"/>
    </xf>
    <xf numFmtId="1" fontId="0" fillId="0" borderId="25" xfId="0" applyNumberFormat="1" applyBorder="1" applyAlignment="1">
      <alignment horizontal="center" shrinkToFit="1"/>
    </xf>
    <xf numFmtId="165" fontId="0" fillId="0" borderId="25" xfId="0" applyNumberFormat="1" applyBorder="1" applyAlignment="1">
      <alignment horizontal="center" shrinkToFit="1"/>
    </xf>
    <xf numFmtId="1" fontId="0" fillId="0" borderId="29" xfId="0" applyNumberFormat="1" applyBorder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0" fillId="0" borderId="42" xfId="0" applyBorder="1" applyAlignment="1">
      <alignment horizontal="center" shrinkToFit="1"/>
    </xf>
    <xf numFmtId="14" fontId="0" fillId="0" borderId="43" xfId="0" applyNumberFormat="1" applyBorder="1" applyAlignment="1">
      <alignment horizontal="center" shrinkToFit="1"/>
    </xf>
    <xf numFmtId="1" fontId="0" fillId="0" borderId="43" xfId="0" applyNumberFormat="1" applyBorder="1" applyAlignment="1">
      <alignment horizontal="center" shrinkToFit="1"/>
    </xf>
    <xf numFmtId="165" fontId="0" fillId="0" borderId="43" xfId="0" applyNumberFormat="1" applyBorder="1" applyAlignment="1">
      <alignment horizontal="center" shrinkToFit="1"/>
    </xf>
    <xf numFmtId="1" fontId="0" fillId="0" borderId="44" xfId="0" applyNumberFormat="1" applyBorder="1" applyAlignment="1">
      <alignment horizontal="center" shrinkToFit="1"/>
    </xf>
    <xf numFmtId="0" fontId="15" fillId="6" borderId="4" xfId="0" applyFont="1" applyFill="1" applyBorder="1" applyAlignment="1">
      <alignment horizontal="center" shrinkToFit="1"/>
    </xf>
    <xf numFmtId="1" fontId="15" fillId="6" borderId="4" xfId="0" applyNumberFormat="1" applyFont="1" applyFill="1" applyBorder="1" applyAlignment="1">
      <alignment horizontal="center" shrinkToFit="1"/>
    </xf>
    <xf numFmtId="0" fontId="0" fillId="2" borderId="37" xfId="0" applyFill="1" applyBorder="1" applyAlignment="1">
      <alignment shrinkToFit="1"/>
    </xf>
    <xf numFmtId="0" fontId="0" fillId="2" borderId="38" xfId="0" applyFill="1" applyBorder="1" applyAlignment="1">
      <alignment shrinkToFit="1"/>
    </xf>
    <xf numFmtId="1" fontId="0" fillId="2" borderId="38" xfId="0" applyNumberFormat="1" applyFill="1" applyBorder="1" applyAlignment="1">
      <alignment shrinkToFit="1"/>
    </xf>
    <xf numFmtId="0" fontId="0" fillId="2" borderId="41" xfId="0" applyFill="1" applyBorder="1" applyAlignment="1">
      <alignment shrinkToFit="1"/>
    </xf>
    <xf numFmtId="1" fontId="0" fillId="3" borderId="0" xfId="0" applyNumberFormat="1" applyFill="1" applyAlignment="1">
      <alignment shrinkToFit="1"/>
    </xf>
    <xf numFmtId="0" fontId="0" fillId="0" borderId="25" xfId="0" applyBorder="1" applyAlignment="1">
      <alignment horizontal="center" shrinkToFit="1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15" borderId="17" xfId="0" applyFill="1" applyBorder="1" applyAlignment="1">
      <alignment horizontal="center"/>
    </xf>
    <xf numFmtId="0" fontId="4" fillId="15" borderId="28" xfId="2" applyFill="1" applyBorder="1" applyAlignment="1" applyProtection="1">
      <alignment horizontal="center"/>
    </xf>
    <xf numFmtId="0" fontId="0" fillId="17" borderId="17" xfId="0" applyFill="1" applyBorder="1" applyAlignment="1">
      <alignment horizontal="center"/>
    </xf>
    <xf numFmtId="0" fontId="0" fillId="15" borderId="24" xfId="0" applyFill="1" applyBorder="1" applyAlignment="1">
      <alignment horizontal="center"/>
    </xf>
    <xf numFmtId="0" fontId="4" fillId="15" borderId="29" xfId="2" applyFill="1" applyBorder="1" applyAlignment="1" applyProtection="1">
      <alignment horizontal="center"/>
    </xf>
    <xf numFmtId="0" fontId="0" fillId="17" borderId="24" xfId="0" applyFill="1" applyBorder="1" applyAlignment="1">
      <alignment horizontal="center"/>
    </xf>
    <xf numFmtId="0" fontId="0" fillId="15" borderId="31" xfId="0" applyFill="1" applyBorder="1" applyAlignment="1">
      <alignment horizontal="center"/>
    </xf>
    <xf numFmtId="0" fontId="4" fillId="15" borderId="45" xfId="2" applyFill="1" applyBorder="1" applyAlignment="1" applyProtection="1">
      <alignment horizontal="center"/>
    </xf>
    <xf numFmtId="0" fontId="22" fillId="4" borderId="4" xfId="2" applyFont="1" applyFill="1" applyBorder="1" applyAlignment="1" applyProtection="1">
      <alignment horizontal="center" vertical="center" shrinkToFit="1"/>
    </xf>
    <xf numFmtId="0" fontId="0" fillId="0" borderId="18" xfId="0" applyBorder="1" applyAlignment="1">
      <alignment horizontal="center" shrinkToFit="1"/>
    </xf>
    <xf numFmtId="0" fontId="0" fillId="0" borderId="43" xfId="0" applyBorder="1" applyAlignment="1">
      <alignment horizontal="center" shrinkToFit="1"/>
    </xf>
    <xf numFmtId="0" fontId="0" fillId="16" borderId="48" xfId="0" applyFill="1" applyBorder="1" applyAlignment="1">
      <alignment horizontal="center"/>
    </xf>
    <xf numFmtId="0" fontId="4" fillId="16" borderId="49" xfId="2" applyFill="1" applyBorder="1" applyAlignment="1" applyProtection="1">
      <alignment horizontal="center"/>
    </xf>
    <xf numFmtId="0" fontId="0" fillId="16" borderId="25" xfId="0" applyFill="1" applyBorder="1" applyAlignment="1">
      <alignment horizontal="center"/>
    </xf>
    <xf numFmtId="0" fontId="4" fillId="16" borderId="25" xfId="2" applyFill="1" applyBorder="1" applyAlignment="1" applyProtection="1">
      <alignment horizontal="center"/>
    </xf>
    <xf numFmtId="0" fontId="0" fillId="17" borderId="48" xfId="0" applyFill="1" applyBorder="1" applyAlignment="1">
      <alignment horizontal="center"/>
    </xf>
    <xf numFmtId="0" fontId="0" fillId="17" borderId="25" xfId="0" applyFill="1" applyBorder="1" applyAlignment="1">
      <alignment horizontal="center"/>
    </xf>
    <xf numFmtId="0" fontId="4" fillId="17" borderId="25" xfId="2" applyFill="1" applyBorder="1" applyAlignment="1" applyProtection="1">
      <alignment horizontal="center"/>
    </xf>
    <xf numFmtId="0" fontId="0" fillId="18" borderId="25" xfId="0" applyFill="1" applyBorder="1" applyAlignment="1">
      <alignment horizontal="center" vertical="center"/>
    </xf>
    <xf numFmtId="0" fontId="4" fillId="18" borderId="25" xfId="2" applyFill="1" applyBorder="1" applyAlignment="1" applyProtection="1">
      <alignment horizontal="center" vertical="center"/>
    </xf>
    <xf numFmtId="0" fontId="0" fillId="17" borderId="50" xfId="0" applyFill="1" applyBorder="1" applyAlignment="1">
      <alignment horizontal="center"/>
    </xf>
    <xf numFmtId="0" fontId="0" fillId="17" borderId="29" xfId="0" applyFill="1" applyBorder="1" applyAlignment="1">
      <alignment horizontal="center" vertical="center"/>
    </xf>
    <xf numFmtId="0" fontId="0" fillId="17" borderId="30" xfId="0" applyFill="1" applyBorder="1" applyAlignment="1">
      <alignment horizontal="center"/>
    </xf>
    <xf numFmtId="0" fontId="0" fillId="17" borderId="45" xfId="0" applyFill="1" applyBorder="1" applyAlignment="1">
      <alignment horizontal="center" vertical="center"/>
    </xf>
    <xf numFmtId="0" fontId="4" fillId="17" borderId="29" xfId="2" applyFill="1" applyBorder="1" applyAlignment="1" applyProtection="1">
      <alignment horizontal="center" vertical="center"/>
    </xf>
    <xf numFmtId="0" fontId="11" fillId="4" borderId="1" xfId="0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center" vertical="center" shrinkToFit="1"/>
    </xf>
    <xf numFmtId="0" fontId="11" fillId="4" borderId="33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35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10" fontId="12" fillId="5" borderId="34" xfId="0" applyNumberFormat="1" applyFont="1" applyFill="1" applyBorder="1" applyAlignment="1">
      <alignment horizontal="center" vertical="center" shrinkToFit="1"/>
    </xf>
    <xf numFmtId="10" fontId="12" fillId="5" borderId="2" xfId="0" applyNumberFormat="1" applyFont="1" applyFill="1" applyBorder="1" applyAlignment="1">
      <alignment horizontal="center" vertical="center" shrinkToFit="1"/>
    </xf>
    <xf numFmtId="10" fontId="12" fillId="5" borderId="3" xfId="0" applyNumberFormat="1" applyFont="1" applyFill="1" applyBorder="1" applyAlignment="1">
      <alignment horizontal="center" vertical="center" shrinkToFit="1"/>
    </xf>
    <xf numFmtId="10" fontId="12" fillId="5" borderId="36" xfId="0" applyNumberFormat="1" applyFont="1" applyFill="1" applyBorder="1" applyAlignment="1">
      <alignment horizontal="center" vertical="center" shrinkToFit="1"/>
    </xf>
    <xf numFmtId="10" fontId="12" fillId="5" borderId="0" xfId="0" applyNumberFormat="1" applyFont="1" applyFill="1" applyAlignment="1">
      <alignment horizontal="center" vertical="center" shrinkToFit="1"/>
    </xf>
    <xf numFmtId="10" fontId="12" fillId="5" borderId="9" xfId="0" applyNumberFormat="1" applyFont="1" applyFill="1" applyBorder="1" applyAlignment="1">
      <alignment horizontal="center" vertical="center" shrinkToFit="1"/>
    </xf>
    <xf numFmtId="10" fontId="12" fillId="5" borderId="40" xfId="0" applyNumberFormat="1" applyFont="1" applyFill="1" applyBorder="1" applyAlignment="1">
      <alignment horizontal="center" vertical="center" shrinkToFit="1"/>
    </xf>
    <xf numFmtId="10" fontId="12" fillId="5" borderId="38" xfId="0" applyNumberFormat="1" applyFont="1" applyFill="1" applyBorder="1" applyAlignment="1">
      <alignment horizontal="center" vertical="center" shrinkToFit="1"/>
    </xf>
    <xf numFmtId="10" fontId="12" fillId="5" borderId="41" xfId="0" applyNumberFormat="1" applyFont="1" applyFill="1" applyBorder="1" applyAlignment="1">
      <alignment horizontal="center" vertical="center" shrinkToFit="1"/>
    </xf>
    <xf numFmtId="0" fontId="13" fillId="0" borderId="6" xfId="2" applyNumberFormat="1" applyFont="1" applyBorder="1" applyAlignment="1" applyProtection="1">
      <alignment horizontal="center" shrinkToFit="1"/>
    </xf>
    <xf numFmtId="0" fontId="14" fillId="0" borderId="7" xfId="0" applyFont="1" applyBorder="1" applyAlignment="1">
      <alignment horizontal="center" shrinkToFit="1"/>
    </xf>
    <xf numFmtId="0" fontId="14" fillId="0" borderId="8" xfId="0" applyFont="1" applyBorder="1" applyAlignment="1">
      <alignment horizontal="center" shrinkToFit="1"/>
    </xf>
    <xf numFmtId="2" fontId="3" fillId="12" borderId="16" xfId="0" applyNumberFormat="1" applyFont="1" applyFill="1" applyBorder="1" applyAlignment="1">
      <alignment horizontal="center" vertical="center" shrinkToFit="1"/>
    </xf>
    <xf numFmtId="2" fontId="3" fillId="12" borderId="30" xfId="0" applyNumberFormat="1" applyFont="1" applyFill="1" applyBorder="1" applyAlignment="1">
      <alignment horizontal="center" vertical="center" shrinkToFit="1"/>
    </xf>
    <xf numFmtId="0" fontId="3" fillId="12" borderId="17" xfId="0" applyFont="1" applyFill="1" applyBorder="1" applyAlignment="1">
      <alignment horizontal="center" vertical="center" shrinkToFit="1"/>
    </xf>
    <xf numFmtId="0" fontId="3" fillId="12" borderId="31" xfId="0" applyFont="1" applyFill="1" applyBorder="1" applyAlignment="1">
      <alignment horizontal="center" vertical="center" shrinkToFit="1"/>
    </xf>
    <xf numFmtId="0" fontId="3" fillId="12" borderId="20" xfId="0" applyFont="1" applyFill="1" applyBorder="1" applyAlignment="1">
      <alignment horizontal="center" vertical="center" shrinkToFit="1"/>
    </xf>
    <xf numFmtId="0" fontId="3" fillId="12" borderId="32" xfId="0" applyFont="1" applyFill="1" applyBorder="1" applyAlignment="1">
      <alignment horizontal="center" vertical="center" shrinkToFit="1"/>
    </xf>
    <xf numFmtId="10" fontId="3" fillId="10" borderId="20" xfId="1" applyNumberFormat="1" applyFont="1" applyFill="1" applyBorder="1" applyAlignment="1">
      <alignment horizontal="center" vertical="center" shrinkToFit="1"/>
    </xf>
    <xf numFmtId="10" fontId="3" fillId="10" borderId="32" xfId="1" applyNumberFormat="1" applyFont="1" applyFill="1" applyBorder="1" applyAlignment="1">
      <alignment horizontal="center" vertical="center" shrinkToFit="1"/>
    </xf>
    <xf numFmtId="0" fontId="7" fillId="6" borderId="12" xfId="0" applyFont="1" applyFill="1" applyBorder="1" applyAlignment="1">
      <alignment horizontal="center" vertical="center" shrinkToFit="1"/>
    </xf>
    <xf numFmtId="0" fontId="7" fillId="6" borderId="15" xfId="0" applyFont="1" applyFill="1" applyBorder="1" applyAlignment="1">
      <alignment horizontal="center" vertical="center" shrinkToFit="1"/>
    </xf>
    <xf numFmtId="164" fontId="8" fillId="7" borderId="6" xfId="0" applyNumberFormat="1" applyFont="1" applyFill="1" applyBorder="1" applyAlignment="1">
      <alignment horizontal="center" shrinkToFit="1"/>
    </xf>
    <xf numFmtId="164" fontId="8" fillId="7" borderId="7" xfId="0" applyNumberFormat="1" applyFont="1" applyFill="1" applyBorder="1" applyAlignment="1">
      <alignment horizontal="center" shrinkToFit="1"/>
    </xf>
    <xf numFmtId="164" fontId="8" fillId="7" borderId="8" xfId="0" applyNumberFormat="1" applyFont="1" applyFill="1" applyBorder="1" applyAlignment="1">
      <alignment horizontal="center" shrinkToFit="1"/>
    </xf>
    <xf numFmtId="0" fontId="8" fillId="8" borderId="6" xfId="0" applyFont="1" applyFill="1" applyBorder="1" applyAlignment="1">
      <alignment horizontal="center" shrinkToFit="1"/>
    </xf>
    <xf numFmtId="0" fontId="8" fillId="8" borderId="7" xfId="0" applyFont="1" applyFill="1" applyBorder="1" applyAlignment="1">
      <alignment horizontal="center" shrinkToFit="1"/>
    </xf>
    <xf numFmtId="0" fontId="8" fillId="8" borderId="8" xfId="0" applyFont="1" applyFill="1" applyBorder="1" applyAlignment="1">
      <alignment horizontal="center" shrinkToFit="1"/>
    </xf>
    <xf numFmtId="0" fontId="0" fillId="9" borderId="47" xfId="0" applyFill="1" applyBorder="1" applyAlignment="1">
      <alignment horizontal="center" vertical="center" wrapText="1"/>
    </xf>
    <xf numFmtId="0" fontId="0" fillId="9" borderId="46" xfId="0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10" fontId="3" fillId="10" borderId="27" xfId="1" applyNumberFormat="1" applyFont="1" applyFill="1" applyBorder="1" applyAlignment="1">
      <alignment horizontal="center" vertical="center" shrinkToFit="1"/>
    </xf>
    <xf numFmtId="0" fontId="5" fillId="5" borderId="6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 shrinkToFit="1"/>
    </xf>
    <xf numFmtId="2" fontId="6" fillId="6" borderId="10" xfId="0" applyNumberFormat="1" applyFont="1" applyFill="1" applyBorder="1" applyAlignment="1">
      <alignment horizontal="center" vertical="center" shrinkToFit="1"/>
    </xf>
    <xf numFmtId="2" fontId="6" fillId="6" borderId="13" xfId="0" applyNumberFormat="1" applyFont="1" applyFill="1" applyBorder="1" applyAlignment="1">
      <alignment horizontal="center" vertical="center" shrinkToFit="1"/>
    </xf>
    <xf numFmtId="0" fontId="6" fillId="6" borderId="11" xfId="0" applyFont="1" applyFill="1" applyBorder="1" applyAlignment="1">
      <alignment horizontal="center" vertical="center" shrinkToFit="1"/>
    </xf>
    <xf numFmtId="0" fontId="6" fillId="6" borderId="14" xfId="0" applyFont="1" applyFill="1" applyBorder="1" applyAlignment="1">
      <alignment horizontal="center" vertical="center" shrinkToFit="1"/>
    </xf>
    <xf numFmtId="0" fontId="18" fillId="13" borderId="1" xfId="0" applyFont="1" applyFill="1" applyBorder="1" applyAlignment="1">
      <alignment horizontal="center" vertical="center"/>
    </xf>
    <xf numFmtId="0" fontId="18" fillId="13" borderId="2" xfId="0" applyFont="1" applyFill="1" applyBorder="1" applyAlignment="1">
      <alignment horizontal="center" vertical="center"/>
    </xf>
    <xf numFmtId="0" fontId="18" fillId="13" borderId="3" xfId="0" applyFont="1" applyFill="1" applyBorder="1" applyAlignment="1">
      <alignment horizontal="center" vertical="center"/>
    </xf>
    <xf numFmtId="0" fontId="18" fillId="13" borderId="5" xfId="0" applyFont="1" applyFill="1" applyBorder="1" applyAlignment="1">
      <alignment horizontal="center" vertical="center"/>
    </xf>
    <xf numFmtId="0" fontId="18" fillId="13" borderId="0" xfId="0" applyFont="1" applyFill="1" applyAlignment="1">
      <alignment horizontal="center" vertical="center"/>
    </xf>
    <xf numFmtId="0" fontId="18" fillId="13" borderId="9" xfId="0" applyFont="1" applyFill="1" applyBorder="1" applyAlignment="1">
      <alignment horizontal="center" vertical="center"/>
    </xf>
    <xf numFmtId="0" fontId="18" fillId="13" borderId="37" xfId="0" applyFont="1" applyFill="1" applyBorder="1" applyAlignment="1">
      <alignment horizontal="center" vertical="center"/>
    </xf>
    <xf numFmtId="0" fontId="18" fillId="13" borderId="38" xfId="0" applyFont="1" applyFill="1" applyBorder="1" applyAlignment="1">
      <alignment horizontal="center" vertical="center"/>
    </xf>
    <xf numFmtId="0" fontId="18" fillId="13" borderId="4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9" fillId="9" borderId="9" xfId="0" applyFont="1" applyFill="1" applyBorder="1" applyAlignment="1">
      <alignment horizontal="center" vertical="center"/>
    </xf>
    <xf numFmtId="0" fontId="19" fillId="9" borderId="37" xfId="0" applyFont="1" applyFill="1" applyBorder="1" applyAlignment="1">
      <alignment horizontal="center" vertical="center"/>
    </xf>
    <xf numFmtId="0" fontId="19" fillId="9" borderId="38" xfId="0" applyFont="1" applyFill="1" applyBorder="1" applyAlignment="1">
      <alignment horizontal="center" vertical="center"/>
    </xf>
    <xf numFmtId="0" fontId="19" fillId="9" borderId="41" xfId="0" applyFont="1" applyFill="1" applyBorder="1" applyAlignment="1">
      <alignment horizontal="center" vertical="center"/>
    </xf>
    <xf numFmtId="0" fontId="20" fillId="14" borderId="1" xfId="0" applyFont="1" applyFill="1" applyBorder="1" applyAlignment="1">
      <alignment horizontal="center" vertical="center"/>
    </xf>
    <xf numFmtId="0" fontId="20" fillId="14" borderId="2" xfId="0" applyFont="1" applyFill="1" applyBorder="1" applyAlignment="1">
      <alignment horizontal="center" vertical="center"/>
    </xf>
    <xf numFmtId="0" fontId="20" fillId="14" borderId="37" xfId="0" applyFont="1" applyFill="1" applyBorder="1" applyAlignment="1">
      <alignment horizontal="center" vertical="center"/>
    </xf>
    <xf numFmtId="0" fontId="20" fillId="14" borderId="38" xfId="0" applyFont="1" applyFill="1" applyBorder="1" applyAlignment="1">
      <alignment horizontal="center" vertical="center"/>
    </xf>
    <xf numFmtId="0" fontId="21" fillId="14" borderId="2" xfId="0" applyFont="1" applyFill="1" applyBorder="1" applyAlignment="1">
      <alignment horizontal="center" vertical="center"/>
    </xf>
    <xf numFmtId="0" fontId="21" fillId="14" borderId="38" xfId="0" applyFont="1" applyFill="1" applyBorder="1" applyAlignment="1">
      <alignment horizontal="center" vertical="center"/>
    </xf>
    <xf numFmtId="0" fontId="20" fillId="14" borderId="3" xfId="0" applyFont="1" applyFill="1" applyBorder="1" applyAlignment="1">
      <alignment horizontal="center" vertical="center"/>
    </xf>
    <xf numFmtId="0" fontId="20" fillId="14" borderId="41" xfId="0" applyFont="1" applyFill="1" applyBorder="1" applyAlignment="1">
      <alignment horizontal="center" vertical="center"/>
    </xf>
  </cellXfs>
  <cellStyles count="5">
    <cellStyle name="Excel Built-in Normal" xfId="3" xr:uid="{00000000-0005-0000-0000-000000000000}"/>
    <cellStyle name="Hyperlink" xfId="2" builtinId="8"/>
    <cellStyle name="Normal" xfId="0" builtinId="0"/>
    <cellStyle name="Normal 2" xfId="4" xr:uid="{00000000-0005-0000-0000-000003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10574</xdr:colOff>
      <xdr:row>1</xdr:row>
      <xdr:rowOff>10585</xdr:rowOff>
    </xdr:from>
    <xdr:to>
      <xdr:col>4</xdr:col>
      <xdr:colOff>571493</xdr:colOff>
      <xdr:row>10</xdr:row>
      <xdr:rowOff>169335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6899" y="210610"/>
          <a:ext cx="2542119" cy="1787525"/>
        </a:xfrm>
        <a:prstGeom prst="rect">
          <a:avLst/>
        </a:prstGeom>
      </xdr:spPr>
    </xdr:pic>
    <xdr:clientData/>
  </xdr:twoCellAnchor>
  <xdr:oneCellAnchor>
    <xdr:from>
      <xdr:col>5</xdr:col>
      <xdr:colOff>21165</xdr:colOff>
      <xdr:row>1</xdr:row>
      <xdr:rowOff>10583</xdr:rowOff>
    </xdr:from>
    <xdr:ext cx="917575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/>
      </xdr:nvSpPr>
      <xdr:spPr>
        <a:xfrm>
          <a:off x="3669240" y="210608"/>
          <a:ext cx="917575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glow rad="101600">
                  <a:schemeClr val="accent2">
                    <a:satMod val="175000"/>
                    <a:alpha val="40000"/>
                  </a:schemeClr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Winners</a:t>
          </a:r>
          <a:r>
            <a:rPr lang="en-US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glow rad="101600">
                  <a:schemeClr val="accent2">
                    <a:satMod val="175000"/>
                    <a:alpha val="40000"/>
                  </a:schemeClr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Capital Line</a:t>
          </a:r>
          <a:endParaRPr lang="en-U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glow rad="101600">
                <a:schemeClr val="accent2">
                  <a:satMod val="175000"/>
                  <a:alpha val="40000"/>
                </a:schemeClr>
              </a:glow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10583</xdr:colOff>
      <xdr:row>5</xdr:row>
      <xdr:rowOff>126989</xdr:rowOff>
    </xdr:from>
    <xdr:ext cx="9165167" cy="843757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4000-000004000000}"/>
            </a:ext>
          </a:extLst>
        </xdr:cNvPr>
        <xdr:cNvSpPr/>
      </xdr:nvSpPr>
      <xdr:spPr>
        <a:xfrm>
          <a:off x="3658658" y="1050914"/>
          <a:ext cx="9165167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sz="4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Grow With</a:t>
          </a:r>
          <a:r>
            <a:rPr lang="en-US" sz="4800" b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 Experts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innerscapitallin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innerscapitalline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innerscapitalline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winnerscapitalline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winnerscapitalline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winnerscapitalline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winnerscapitalline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winnerscapitalline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winnerscapitalline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winnerscapitalline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winnerscapitalline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winnerscapitalline.com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winnerscapitalline.com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winnerscapitalline.com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winnerscapitalline.com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winnerscapitalline.com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winnerscapitalline.com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winnerscapitalline.com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winnerscapitalline.com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winnerscapitalline.com/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winnerscapitalline.com/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winnerscapitalline.com/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winnerscapitalline.com/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winnerscapitalline.com/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winnerscapitalline.com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www.winnerscapitalline.com/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winnerscapitalline.com/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www.winnerscapitalline.com/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www.winnerscapitalline.com/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www.winnerscapitalline.com/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://www.winnerscapitalline.com/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://www.winnerscapitalline.com/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://www.winnerscapitalline.com/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://www.winnerscapitalline.com/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://www.winnerscapitalline.com/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http://www.winnerscapitalline.com/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http://www.winnerscapitalline.com/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http://www.winnerscapitalline.com/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http://www.winnerscapitalline.com/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http://www.winnerscapitalline.com/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http://www.winnerscapitalline.com/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http://www.winnerscapitalline.com/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http://www.winnerscapitalline.com/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http://www.winnerscapitalline.com/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http://www.winnerscapitalline.com/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http://www.winnerscapitalline.com/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http://www.winnerscapitalline.com/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http://www.winnerscapitalline.com/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http://www.winnerscapitalline.com/" TargetMode="Externa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http://www.winnerscapitalline.com/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http://www.winnerscapitalline.com/" TargetMode="Externa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http://www.winnerscapitalline.com/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http://www.winnerscapitalline.com/" TargetMode="Externa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http://www.winnerscapitalline.com/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http://www.winnerscapitalline.com/" TargetMode="Externa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hyperlink" Target="http://www.winnerscapitalline.com/" TargetMode="Externa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hyperlink" Target="http://www.winnerscapitalline.com/" TargetMode="Externa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hyperlink" Target="http://www.winnerscapitalline.com/" TargetMode="Externa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9.bin"/><Relationship Id="rId1" Type="http://schemas.openxmlformats.org/officeDocument/2006/relationships/hyperlink" Target="http://www.winnerscapitalline.com/" TargetMode="Externa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hyperlink" Target="http://www.winnerscapitalline.com/" TargetMode="Externa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1.bin"/><Relationship Id="rId1" Type="http://schemas.openxmlformats.org/officeDocument/2006/relationships/hyperlink" Target="http://www.winnerscapitalline.com/" TargetMode="Externa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hyperlink" Target="http://www.winnerscapitalline.com/" TargetMode="Externa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3.bin"/><Relationship Id="rId1" Type="http://schemas.openxmlformats.org/officeDocument/2006/relationships/hyperlink" Target="http://www.winnerscapitalline.com/" TargetMode="Externa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hyperlink" Target="http://www.winnerscapitalline.com/" TargetMode="Externa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5.bin"/><Relationship Id="rId1" Type="http://schemas.openxmlformats.org/officeDocument/2006/relationships/hyperlink" Target="http://www.winnerscapitalline.com/" TargetMode="Externa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hyperlink" Target="http://www.winnerscapitalline.com/" TargetMode="Externa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7.bin"/><Relationship Id="rId1" Type="http://schemas.openxmlformats.org/officeDocument/2006/relationships/hyperlink" Target="http://www.winnerscapitalline.com/" TargetMode="Externa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hyperlink" Target="http://www.winnerscapitalline.com/" TargetMode="Externa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9.bin"/><Relationship Id="rId1" Type="http://schemas.openxmlformats.org/officeDocument/2006/relationships/hyperlink" Target="http://www.winnerscapitalline.com/" TargetMode="Externa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hyperlink" Target="http://www.winnerscapitalline.com/" TargetMode="Externa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1.bin"/><Relationship Id="rId1" Type="http://schemas.openxmlformats.org/officeDocument/2006/relationships/hyperlink" Target="http://www.winnerscapitalline.com/" TargetMode="Externa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hyperlink" Target="http://www.winnerscapitalline.com/" TargetMode="External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3.bin"/><Relationship Id="rId1" Type="http://schemas.openxmlformats.org/officeDocument/2006/relationships/hyperlink" Target="http://www.winnerscapitalline.com/" TargetMode="External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hyperlink" Target="http://www.winnerscapitalline.com/" TargetMode="External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5.bin"/><Relationship Id="rId1" Type="http://schemas.openxmlformats.org/officeDocument/2006/relationships/hyperlink" Target="http://www.winnerscapitalline.com/" TargetMode="External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hyperlink" Target="http://www.winnerscapitalline.com/" TargetMode="External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7.bin"/><Relationship Id="rId1" Type="http://schemas.openxmlformats.org/officeDocument/2006/relationships/hyperlink" Target="http://www.winnerscapitalline.com/" TargetMode="External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hyperlink" Target="http://www.winnerscapitalline.com/" TargetMode="External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9.bin"/><Relationship Id="rId1" Type="http://schemas.openxmlformats.org/officeDocument/2006/relationships/hyperlink" Target="http://www.winnerscapitalline.com/" TargetMode="External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hyperlink" Target="http://www.winnerscapitalline.com/" TargetMode="External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1.bin"/><Relationship Id="rId1" Type="http://schemas.openxmlformats.org/officeDocument/2006/relationships/hyperlink" Target="http://www.winnerscapitalline.com/" TargetMode="External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2.bin"/><Relationship Id="rId1" Type="http://schemas.openxmlformats.org/officeDocument/2006/relationships/hyperlink" Target="OPTION%20MACINE%20CAL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"/>
  <sheetViews>
    <sheetView workbookViewId="0">
      <selection activeCell="N29" sqref="N28:N29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43405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COUNT(C6:C28)</f>
        <v>9</v>
      </c>
      <c r="O4" s="108">
        <f>V29</f>
        <v>6</v>
      </c>
      <c r="P4" s="108">
        <f>W29</f>
        <v>3</v>
      </c>
      <c r="Q4" s="110">
        <f>N4-O4-P4</f>
        <v>0</v>
      </c>
      <c r="R4" s="94">
        <f>O4/N4</f>
        <v>0.66666666666666663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43419</v>
      </c>
      <c r="D6" s="16" t="s">
        <v>18</v>
      </c>
      <c r="E6" s="16" t="s">
        <v>32</v>
      </c>
      <c r="F6" s="51">
        <v>3.4</v>
      </c>
      <c r="G6" s="51">
        <v>5.6</v>
      </c>
      <c r="H6" s="51">
        <v>2.2000000000000002</v>
      </c>
      <c r="I6" s="17">
        <v>4000</v>
      </c>
      <c r="J6" s="18">
        <f>H6*I6</f>
        <v>8800</v>
      </c>
      <c r="K6" s="7"/>
      <c r="M6" s="88" t="s">
        <v>19</v>
      </c>
      <c r="N6" s="90">
        <f>SUM(N4:N5)</f>
        <v>9</v>
      </c>
      <c r="O6" s="90">
        <f>SUM(O4:O5)</f>
        <v>6</v>
      </c>
      <c r="P6" s="90">
        <f>SUM(P4:P5)</f>
        <v>3</v>
      </c>
      <c r="Q6" s="92">
        <f>SUM(Q4:Q5)</f>
        <v>0</v>
      </c>
      <c r="R6" s="94">
        <f t="shared" ref="R6" si="0">O6/N6</f>
        <v>0.66666666666666663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43420</v>
      </c>
      <c r="D7" s="21" t="s">
        <v>18</v>
      </c>
      <c r="E7" s="21" t="s">
        <v>33</v>
      </c>
      <c r="F7" s="37">
        <v>12.1</v>
      </c>
      <c r="G7" s="37">
        <v>28</v>
      </c>
      <c r="H7" s="37">
        <v>15.9</v>
      </c>
      <c r="I7" s="22">
        <v>1300</v>
      </c>
      <c r="J7" s="23">
        <f t="shared" ref="J7:J28" si="1">H7*I7</f>
        <v>20670</v>
      </c>
      <c r="K7" s="7"/>
      <c r="M7" s="89"/>
      <c r="N7" s="91"/>
      <c r="O7" s="91"/>
      <c r="P7" s="91"/>
      <c r="Q7" s="93"/>
      <c r="R7" s="95"/>
      <c r="V7" s="5">
        <f t="shared" ref="V7:V28" si="2">IF($J7&gt;0,1,0)</f>
        <v>1</v>
      </c>
      <c r="W7" s="5">
        <f t="shared" ref="W7:W28" si="3">IF($J7&lt;0,1,0)</f>
        <v>0</v>
      </c>
    </row>
    <row r="8" spans="1:23" x14ac:dyDescent="0.3">
      <c r="A8" s="6"/>
      <c r="B8" s="19">
        <v>3</v>
      </c>
      <c r="C8" s="20">
        <v>43420</v>
      </c>
      <c r="D8" s="21" t="s">
        <v>18</v>
      </c>
      <c r="E8" s="21" t="s">
        <v>34</v>
      </c>
      <c r="F8" s="37">
        <v>10</v>
      </c>
      <c r="G8" s="37">
        <v>11.7</v>
      </c>
      <c r="H8" s="37">
        <v>1.7</v>
      </c>
      <c r="I8" s="22">
        <v>1600</v>
      </c>
      <c r="J8" s="23">
        <f t="shared" si="1"/>
        <v>2720</v>
      </c>
      <c r="K8" s="7"/>
      <c r="M8" s="67" t="s">
        <v>20</v>
      </c>
      <c r="N8" s="68"/>
      <c r="O8" s="69"/>
      <c r="P8" s="76">
        <f>R6</f>
        <v>0.66666666666666663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43423</v>
      </c>
      <c r="D9" s="21" t="s">
        <v>18</v>
      </c>
      <c r="E9" s="21" t="s">
        <v>35</v>
      </c>
      <c r="F9" s="37">
        <v>63</v>
      </c>
      <c r="G9" s="37">
        <v>89.95</v>
      </c>
      <c r="H9" s="37">
        <v>26.95</v>
      </c>
      <c r="I9" s="22">
        <v>250</v>
      </c>
      <c r="J9" s="23">
        <f t="shared" si="1"/>
        <v>6737.5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43425</v>
      </c>
      <c r="D10" s="21" t="s">
        <v>18</v>
      </c>
      <c r="E10" s="21" t="s">
        <v>36</v>
      </c>
      <c r="F10" s="37">
        <v>13.5</v>
      </c>
      <c r="G10" s="37">
        <v>25</v>
      </c>
      <c r="H10" s="37">
        <v>11.5</v>
      </c>
      <c r="I10" s="22">
        <v>500</v>
      </c>
      <c r="J10" s="23">
        <f t="shared" si="1"/>
        <v>5750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43425</v>
      </c>
      <c r="D11" s="21" t="s">
        <v>18</v>
      </c>
      <c r="E11" s="21" t="s">
        <v>37</v>
      </c>
      <c r="F11" s="37">
        <v>100</v>
      </c>
      <c r="G11" s="37">
        <v>50</v>
      </c>
      <c r="H11" s="37">
        <v>-50</v>
      </c>
      <c r="I11" s="22">
        <v>20</v>
      </c>
      <c r="J11" s="23">
        <f t="shared" si="1"/>
        <v>-1000</v>
      </c>
      <c r="K11" s="7"/>
      <c r="V11" s="5">
        <f t="shared" si="2"/>
        <v>0</v>
      </c>
      <c r="W11" s="5">
        <f t="shared" si="3"/>
        <v>1</v>
      </c>
    </row>
    <row r="12" spans="1:23" x14ac:dyDescent="0.3">
      <c r="A12" s="6"/>
      <c r="B12" s="19">
        <v>7</v>
      </c>
      <c r="C12" s="20">
        <v>43430</v>
      </c>
      <c r="D12" s="21" t="s">
        <v>18</v>
      </c>
      <c r="E12" s="21" t="s">
        <v>38</v>
      </c>
      <c r="F12" s="37">
        <v>4.5</v>
      </c>
      <c r="G12" s="37">
        <v>1.1499999999999999</v>
      </c>
      <c r="H12" s="37">
        <v>-3.35</v>
      </c>
      <c r="I12" s="22">
        <v>2500</v>
      </c>
      <c r="J12" s="23">
        <f t="shared" si="1"/>
        <v>-8375</v>
      </c>
      <c r="K12" s="7"/>
      <c r="V12" s="5">
        <f t="shared" si="2"/>
        <v>0</v>
      </c>
      <c r="W12" s="5">
        <f t="shared" si="3"/>
        <v>1</v>
      </c>
    </row>
    <row r="13" spans="1:23" x14ac:dyDescent="0.3">
      <c r="A13" s="6"/>
      <c r="B13" s="19">
        <v>8</v>
      </c>
      <c r="C13" s="20">
        <v>43431</v>
      </c>
      <c r="D13" s="21" t="s">
        <v>18</v>
      </c>
      <c r="E13" s="21" t="s">
        <v>39</v>
      </c>
      <c r="F13" s="37">
        <v>11</v>
      </c>
      <c r="G13" s="37">
        <v>17</v>
      </c>
      <c r="H13" s="37">
        <v>6</v>
      </c>
      <c r="I13" s="22">
        <v>600</v>
      </c>
      <c r="J13" s="23">
        <f t="shared" si="1"/>
        <v>3600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43432</v>
      </c>
      <c r="D14" s="21" t="s">
        <v>18</v>
      </c>
      <c r="E14" s="21" t="s">
        <v>40</v>
      </c>
      <c r="F14" s="37">
        <v>7</v>
      </c>
      <c r="G14" s="37">
        <v>6</v>
      </c>
      <c r="H14" s="37">
        <v>-1</v>
      </c>
      <c r="I14" s="22">
        <v>800</v>
      </c>
      <c r="J14" s="23">
        <f t="shared" si="1"/>
        <v>-800</v>
      </c>
      <c r="K14" s="7"/>
      <c r="M14" s="5" t="s">
        <v>21</v>
      </c>
      <c r="V14" s="5">
        <f t="shared" si="2"/>
        <v>0</v>
      </c>
      <c r="W14" s="5">
        <f t="shared" si="3"/>
        <v>1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t="15" thickBot="1" x14ac:dyDescent="0.35">
      <c r="A28" s="6"/>
      <c r="B28" s="25"/>
      <c r="C28" s="26"/>
      <c r="D28" s="27"/>
      <c r="E28" s="27"/>
      <c r="F28" s="28"/>
      <c r="G28" s="28"/>
      <c r="H28" s="27"/>
      <c r="I28" s="28"/>
      <c r="J28" s="29">
        <f t="shared" si="1"/>
        <v>0</v>
      </c>
      <c r="K28" s="7"/>
      <c r="V28" s="5">
        <f t="shared" si="2"/>
        <v>0</v>
      </c>
      <c r="W28" s="5">
        <f t="shared" si="3"/>
        <v>0</v>
      </c>
    </row>
    <row r="29" spans="1:23" ht="24" thickBot="1" x14ac:dyDescent="0.5">
      <c r="A29" s="6"/>
      <c r="B29" s="85" t="s">
        <v>22</v>
      </c>
      <c r="C29" s="86"/>
      <c r="D29" s="86"/>
      <c r="E29" s="86"/>
      <c r="F29" s="86"/>
      <c r="G29" s="86"/>
      <c r="H29" s="87"/>
      <c r="I29" s="30" t="s">
        <v>23</v>
      </c>
      <c r="J29" s="31">
        <f>SUM(J6:J28)</f>
        <v>38102.5</v>
      </c>
      <c r="K29" s="7"/>
      <c r="V29" s="5">
        <f>SUM(V6:V28)</f>
        <v>6</v>
      </c>
      <c r="W29" s="5">
        <f>SUM(W6:W28)</f>
        <v>3</v>
      </c>
    </row>
    <row r="30" spans="1:23" ht="30" customHeight="1" thickBot="1" x14ac:dyDescent="0.35">
      <c r="A30" s="32"/>
      <c r="B30" s="33"/>
      <c r="C30" s="33"/>
      <c r="D30" s="33"/>
      <c r="E30" s="33"/>
      <c r="F30" s="33"/>
      <c r="G30" s="33"/>
      <c r="H30" s="34"/>
      <c r="I30" s="33"/>
      <c r="J30" s="34"/>
      <c r="K30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29:H29"/>
    <mergeCell ref="M6:M7"/>
    <mergeCell ref="N6:N7"/>
    <mergeCell ref="O6:O7"/>
    <mergeCell ref="P6:P7"/>
    <mergeCell ref="Q6:Q7"/>
    <mergeCell ref="R6:R7"/>
  </mergeCells>
  <hyperlinks>
    <hyperlink ref="B29" r:id="rId1" xr:uid="{00000000-0004-0000-0000-000000000000}"/>
    <hyperlink ref="M1" location="MASTER!A1" display="Back" xr:uid="{00000000-0004-0000-0000-000001000000}"/>
  </hyperlinks>
  <pageMargins left="0" right="0" top="0" bottom="0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4"/>
  <sheetViews>
    <sheetView workbookViewId="0"/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43435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13</v>
      </c>
      <c r="O4" s="108">
        <f>V33</f>
        <v>7</v>
      </c>
      <c r="P4" s="108">
        <f>W33</f>
        <v>3</v>
      </c>
      <c r="Q4" s="110">
        <f>N4-O4-P4</f>
        <v>3</v>
      </c>
      <c r="R4" s="94">
        <f>O4/N4</f>
        <v>0.53846153846153844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43437</v>
      </c>
      <c r="D6" s="16" t="s">
        <v>18</v>
      </c>
      <c r="E6" s="16" t="s">
        <v>41</v>
      </c>
      <c r="F6" s="51">
        <v>32</v>
      </c>
      <c r="G6" s="51">
        <v>40</v>
      </c>
      <c r="H6" s="51">
        <v>8</v>
      </c>
      <c r="I6" s="17">
        <v>500</v>
      </c>
      <c r="J6" s="18">
        <f>H6*I6</f>
        <v>4000</v>
      </c>
      <c r="K6" s="7"/>
      <c r="M6" s="88" t="s">
        <v>19</v>
      </c>
      <c r="N6" s="90">
        <f>SUM(N4:N5)</f>
        <v>13</v>
      </c>
      <c r="O6" s="90">
        <f>SUM(O4:O5)</f>
        <v>7</v>
      </c>
      <c r="P6" s="90">
        <f>SUM(P4:P5)</f>
        <v>3</v>
      </c>
      <c r="Q6" s="92">
        <f>SUM(Q4:Q5)</f>
        <v>3</v>
      </c>
      <c r="R6" s="94">
        <f t="shared" ref="R6" si="0">O6/N6</f>
        <v>0.53846153846153844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43438</v>
      </c>
      <c r="D7" s="21" t="s">
        <v>18</v>
      </c>
      <c r="E7" s="21" t="s">
        <v>41</v>
      </c>
      <c r="F7" s="37">
        <v>35</v>
      </c>
      <c r="G7" s="37">
        <v>40</v>
      </c>
      <c r="H7" s="37">
        <v>5</v>
      </c>
      <c r="I7" s="22">
        <v>500</v>
      </c>
      <c r="J7" s="23">
        <f t="shared" ref="J7:J32" si="1">H7*I7</f>
        <v>2500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43439</v>
      </c>
      <c r="D8" s="21" t="s">
        <v>18</v>
      </c>
      <c r="E8" s="21" t="s">
        <v>42</v>
      </c>
      <c r="F8" s="37">
        <v>35</v>
      </c>
      <c r="G8" s="37">
        <v>27</v>
      </c>
      <c r="H8" s="37">
        <v>-8</v>
      </c>
      <c r="I8" s="22">
        <v>600</v>
      </c>
      <c r="J8" s="23">
        <f t="shared" si="1"/>
        <v>-4800</v>
      </c>
      <c r="K8" s="7"/>
      <c r="M8" s="67" t="s">
        <v>20</v>
      </c>
      <c r="N8" s="68"/>
      <c r="O8" s="69"/>
      <c r="P8" s="76">
        <f>R6</f>
        <v>0.53846153846153844</v>
      </c>
      <c r="Q8" s="77"/>
      <c r="R8" s="78"/>
      <c r="V8" s="5">
        <f t="shared" si="2"/>
        <v>0</v>
      </c>
      <c r="W8" s="5">
        <f t="shared" si="3"/>
        <v>1</v>
      </c>
    </row>
    <row r="9" spans="1:23" x14ac:dyDescent="0.3">
      <c r="A9" s="6"/>
      <c r="B9" s="19">
        <v>4</v>
      </c>
      <c r="C9" s="20">
        <v>43440</v>
      </c>
      <c r="D9" s="21" t="s">
        <v>18</v>
      </c>
      <c r="E9" s="21" t="s">
        <v>43</v>
      </c>
      <c r="F9" s="37">
        <v>14.5</v>
      </c>
      <c r="G9" s="37">
        <v>16.3</v>
      </c>
      <c r="H9" s="37">
        <v>1.8</v>
      </c>
      <c r="I9" s="22">
        <v>1200</v>
      </c>
      <c r="J9" s="23">
        <f t="shared" si="1"/>
        <v>2160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43440</v>
      </c>
      <c r="D10" s="21" t="s">
        <v>18</v>
      </c>
      <c r="E10" s="21" t="s">
        <v>44</v>
      </c>
      <c r="F10" s="37">
        <v>49.5</v>
      </c>
      <c r="G10" s="37">
        <v>53</v>
      </c>
      <c r="H10" s="37">
        <v>3.5</v>
      </c>
      <c r="I10" s="22">
        <v>250</v>
      </c>
      <c r="J10" s="23">
        <f t="shared" si="1"/>
        <v>875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43444</v>
      </c>
      <c r="D11" s="21" t="s">
        <v>18</v>
      </c>
      <c r="E11" s="21" t="s">
        <v>45</v>
      </c>
      <c r="F11" s="37">
        <v>3</v>
      </c>
      <c r="G11" s="37">
        <v>6</v>
      </c>
      <c r="H11" s="37">
        <v>3</v>
      </c>
      <c r="I11" s="22">
        <v>5500</v>
      </c>
      <c r="J11" s="23">
        <f t="shared" si="1"/>
        <v>16500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43446</v>
      </c>
      <c r="D12" s="21" t="s">
        <v>18</v>
      </c>
      <c r="E12" s="21" t="s">
        <v>46</v>
      </c>
      <c r="F12" s="37">
        <v>27</v>
      </c>
      <c r="G12" s="37">
        <v>1</v>
      </c>
      <c r="H12" s="37">
        <v>-26</v>
      </c>
      <c r="I12" s="22">
        <v>20</v>
      </c>
      <c r="J12" s="23">
        <f t="shared" si="1"/>
        <v>-520</v>
      </c>
      <c r="K12" s="7"/>
      <c r="V12" s="5">
        <f t="shared" si="2"/>
        <v>0</v>
      </c>
      <c r="W12" s="5">
        <f t="shared" si="3"/>
        <v>1</v>
      </c>
    </row>
    <row r="13" spans="1:23" x14ac:dyDescent="0.3">
      <c r="A13" s="6"/>
      <c r="B13" s="19">
        <v>8</v>
      </c>
      <c r="C13" s="20">
        <v>43448</v>
      </c>
      <c r="D13" s="21" t="s">
        <v>18</v>
      </c>
      <c r="E13" s="21" t="s">
        <v>47</v>
      </c>
      <c r="F13" s="37">
        <v>9.5</v>
      </c>
      <c r="G13" s="37">
        <v>4</v>
      </c>
      <c r="H13" s="37">
        <v>-5.5</v>
      </c>
      <c r="I13" s="22">
        <v>1300</v>
      </c>
      <c r="J13" s="23">
        <f t="shared" si="1"/>
        <v>-7150</v>
      </c>
      <c r="K13" s="7"/>
      <c r="V13" s="5">
        <f t="shared" si="2"/>
        <v>0</v>
      </c>
      <c r="W13" s="5">
        <f t="shared" si="3"/>
        <v>1</v>
      </c>
    </row>
    <row r="14" spans="1:23" x14ac:dyDescent="0.3">
      <c r="A14" s="6"/>
      <c r="B14" s="19">
        <v>9</v>
      </c>
      <c r="C14" s="20">
        <v>43452</v>
      </c>
      <c r="D14" s="21" t="s">
        <v>18</v>
      </c>
      <c r="E14" s="21" t="s">
        <v>48</v>
      </c>
      <c r="F14" s="37">
        <v>10.5</v>
      </c>
      <c r="G14" s="37">
        <v>13</v>
      </c>
      <c r="H14" s="37">
        <v>2.5</v>
      </c>
      <c r="I14" s="22">
        <v>1100</v>
      </c>
      <c r="J14" s="23">
        <f t="shared" si="1"/>
        <v>2750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43455</v>
      </c>
      <c r="D15" s="21" t="s">
        <v>18</v>
      </c>
      <c r="E15" s="21" t="s">
        <v>49</v>
      </c>
      <c r="F15" s="37">
        <v>3.5</v>
      </c>
      <c r="G15" s="37">
        <v>7</v>
      </c>
      <c r="H15" s="37">
        <v>3.5</v>
      </c>
      <c r="I15" s="22">
        <v>2500</v>
      </c>
      <c r="J15" s="23">
        <f t="shared" si="1"/>
        <v>8750</v>
      </c>
      <c r="K15" s="7"/>
      <c r="V15" s="5">
        <f>IF($J15&gt;0,1,0)</f>
        <v>1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>
        <v>43455</v>
      </c>
      <c r="D28" s="27" t="s">
        <v>18</v>
      </c>
      <c r="E28" s="27" t="s">
        <v>50</v>
      </c>
      <c r="F28" s="28">
        <v>11</v>
      </c>
      <c r="G28" s="52">
        <v>31.95</v>
      </c>
      <c r="H28" s="52">
        <v>20.95</v>
      </c>
      <c r="I28" s="28">
        <v>500</v>
      </c>
      <c r="J28" s="23">
        <f t="shared" si="1"/>
        <v>10475</v>
      </c>
      <c r="K28" s="7"/>
    </row>
    <row r="29" spans="1:23" x14ac:dyDescent="0.3">
      <c r="A29" s="6"/>
      <c r="B29" s="25">
        <v>12</v>
      </c>
      <c r="C29" s="26">
        <v>43460</v>
      </c>
      <c r="D29" s="27" t="s">
        <v>18</v>
      </c>
      <c r="E29" s="27" t="s">
        <v>51</v>
      </c>
      <c r="F29" s="28">
        <v>14</v>
      </c>
      <c r="G29" s="52">
        <v>19</v>
      </c>
      <c r="H29" s="52">
        <v>5</v>
      </c>
      <c r="I29" s="28">
        <v>375</v>
      </c>
      <c r="J29" s="23">
        <f t="shared" si="1"/>
        <v>1875</v>
      </c>
      <c r="K29" s="7"/>
    </row>
    <row r="30" spans="1:23" x14ac:dyDescent="0.3">
      <c r="A30" s="6"/>
      <c r="B30" s="25">
        <v>13</v>
      </c>
      <c r="C30" s="26">
        <v>43460</v>
      </c>
      <c r="D30" s="27" t="s">
        <v>18</v>
      </c>
      <c r="E30" s="27" t="s">
        <v>52</v>
      </c>
      <c r="F30" s="52">
        <v>3.7</v>
      </c>
      <c r="G30" s="52">
        <v>0.9</v>
      </c>
      <c r="H30" s="52">
        <v>-2.8</v>
      </c>
      <c r="I30" s="28">
        <v>1100</v>
      </c>
      <c r="J30" s="23">
        <f t="shared" si="1"/>
        <v>-3080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34335</v>
      </c>
      <c r="K33" s="7"/>
      <c r="V33" s="5">
        <f>SUM(V6:V32)</f>
        <v>7</v>
      </c>
      <c r="W33" s="5">
        <f>SUM(W6:W32)</f>
        <v>3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00000000-0004-0000-0100-000000000000}"/>
    <hyperlink ref="M1" location="MASTER!A1" display="Back" xr:uid="{00000000-0004-0000-0100-000001000000}"/>
  </hyperlinks>
  <pageMargins left="0" right="0" top="0" bottom="0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4"/>
  <sheetViews>
    <sheetView workbookViewId="0">
      <selection activeCell="M1" sqref="M1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43466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8</v>
      </c>
      <c r="O4" s="108">
        <f>V33</f>
        <v>6</v>
      </c>
      <c r="P4" s="108">
        <f>W33</f>
        <v>1</v>
      </c>
      <c r="Q4" s="110">
        <f>N4-O4-P4</f>
        <v>1</v>
      </c>
      <c r="R4" s="94">
        <f>O4/N4</f>
        <v>0.75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43467</v>
      </c>
      <c r="D6" s="16" t="s">
        <v>18</v>
      </c>
      <c r="E6" s="16" t="s">
        <v>63</v>
      </c>
      <c r="F6" s="51">
        <v>41</v>
      </c>
      <c r="G6" s="51">
        <v>57.75</v>
      </c>
      <c r="H6" s="51">
        <v>16.75</v>
      </c>
      <c r="I6" s="17">
        <v>300</v>
      </c>
      <c r="J6" s="18">
        <f>H6*I6</f>
        <v>5025</v>
      </c>
      <c r="K6" s="7"/>
      <c r="M6" s="88" t="s">
        <v>19</v>
      </c>
      <c r="N6" s="90">
        <f>SUM(N4:N5)</f>
        <v>8</v>
      </c>
      <c r="O6" s="90">
        <f>SUM(O4:O5)</f>
        <v>6</v>
      </c>
      <c r="P6" s="90">
        <f>SUM(P4:P5)</f>
        <v>1</v>
      </c>
      <c r="Q6" s="92">
        <f>SUM(Q4:Q5)</f>
        <v>1</v>
      </c>
      <c r="R6" s="94">
        <f t="shared" ref="R6" si="0">O6/N6</f>
        <v>0.75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43467</v>
      </c>
      <c r="D7" s="21" t="s">
        <v>18</v>
      </c>
      <c r="E7" s="21" t="s">
        <v>64</v>
      </c>
      <c r="F7" s="37">
        <v>32</v>
      </c>
      <c r="G7" s="37">
        <v>1</v>
      </c>
      <c r="H7" s="37">
        <v>-31</v>
      </c>
      <c r="I7" s="22">
        <v>20</v>
      </c>
      <c r="J7" s="23">
        <f t="shared" ref="J7:J32" si="1">H7*I7</f>
        <v>-620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0</v>
      </c>
      <c r="W7" s="5">
        <f t="shared" ref="W7:W32" si="3">IF($J7&lt;0,1,0)</f>
        <v>1</v>
      </c>
    </row>
    <row r="8" spans="1:23" x14ac:dyDescent="0.3">
      <c r="A8" s="6"/>
      <c r="B8" s="19">
        <v>3</v>
      </c>
      <c r="C8" s="20">
        <v>43472</v>
      </c>
      <c r="D8" s="21" t="s">
        <v>18</v>
      </c>
      <c r="E8" s="21" t="s">
        <v>36</v>
      </c>
      <c r="F8" s="37">
        <v>30</v>
      </c>
      <c r="G8" s="37">
        <v>41.2</v>
      </c>
      <c r="H8" s="37">
        <v>11.2</v>
      </c>
      <c r="I8" s="22">
        <v>500</v>
      </c>
      <c r="J8" s="23">
        <f t="shared" si="1"/>
        <v>5600</v>
      </c>
      <c r="K8" s="7"/>
      <c r="M8" s="67" t="s">
        <v>20</v>
      </c>
      <c r="N8" s="68"/>
      <c r="O8" s="69"/>
      <c r="P8" s="76">
        <f>R6</f>
        <v>0.75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43481</v>
      </c>
      <c r="D9" s="21" t="s">
        <v>18</v>
      </c>
      <c r="E9" s="21" t="s">
        <v>65</v>
      </c>
      <c r="F9" s="37">
        <v>5.5</v>
      </c>
      <c r="G9" s="37">
        <v>6.5</v>
      </c>
      <c r="H9" s="37">
        <v>1</v>
      </c>
      <c r="I9" s="22">
        <v>2300</v>
      </c>
      <c r="J9" s="23">
        <f t="shared" si="1"/>
        <v>2300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43482</v>
      </c>
      <c r="D10" s="21" t="s">
        <v>18</v>
      </c>
      <c r="E10" s="21" t="s">
        <v>66</v>
      </c>
      <c r="F10" s="37">
        <v>8</v>
      </c>
      <c r="G10" s="37">
        <v>8</v>
      </c>
      <c r="H10" s="37">
        <v>0</v>
      </c>
      <c r="I10" s="22">
        <v>1750</v>
      </c>
      <c r="J10" s="23">
        <f t="shared" si="1"/>
        <v>0</v>
      </c>
      <c r="K10" s="7"/>
      <c r="M10" s="73"/>
      <c r="N10" s="74"/>
      <c r="O10" s="75"/>
      <c r="P10" s="82"/>
      <c r="Q10" s="83"/>
      <c r="R10" s="84"/>
      <c r="V10" s="5">
        <f t="shared" si="2"/>
        <v>0</v>
      </c>
      <c r="W10" s="5">
        <f t="shared" si="3"/>
        <v>0</v>
      </c>
    </row>
    <row r="11" spans="1:23" x14ac:dyDescent="0.3">
      <c r="A11" s="6"/>
      <c r="B11" s="19">
        <v>6</v>
      </c>
      <c r="C11" s="20">
        <v>43487</v>
      </c>
      <c r="D11" s="21" t="s">
        <v>18</v>
      </c>
      <c r="E11" s="21" t="s">
        <v>67</v>
      </c>
      <c r="F11" s="37">
        <v>14</v>
      </c>
      <c r="G11" s="37">
        <v>25</v>
      </c>
      <c r="H11" s="37">
        <v>11</v>
      </c>
      <c r="I11" s="22">
        <v>500</v>
      </c>
      <c r="J11" s="23">
        <f t="shared" si="1"/>
        <v>5500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43494</v>
      </c>
      <c r="D12" s="21" t="s">
        <v>18</v>
      </c>
      <c r="E12" s="21" t="s">
        <v>68</v>
      </c>
      <c r="F12" s="37">
        <v>80</v>
      </c>
      <c r="G12" s="37">
        <v>193</v>
      </c>
      <c r="H12" s="37">
        <v>113</v>
      </c>
      <c r="I12" s="22">
        <v>20</v>
      </c>
      <c r="J12" s="23">
        <f t="shared" si="1"/>
        <v>2260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43495</v>
      </c>
      <c r="D13" s="21" t="s">
        <v>18</v>
      </c>
      <c r="E13" s="21" t="s">
        <v>69</v>
      </c>
      <c r="F13" s="37">
        <v>1</v>
      </c>
      <c r="G13" s="37">
        <v>3.25</v>
      </c>
      <c r="H13" s="37">
        <v>2.25</v>
      </c>
      <c r="I13" s="22">
        <v>1750</v>
      </c>
      <c r="J13" s="23">
        <f t="shared" si="1"/>
        <v>3937.5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24002.5</v>
      </c>
      <c r="K33" s="7"/>
      <c r="V33" s="5">
        <f>SUM(V6:V32)</f>
        <v>6</v>
      </c>
      <c r="W33" s="5">
        <f>SUM(W6:W32)</f>
        <v>1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3:H33"/>
    <mergeCell ref="M6:M7"/>
    <mergeCell ref="N6:N7"/>
    <mergeCell ref="O6:O7"/>
    <mergeCell ref="P6:P7"/>
    <mergeCell ref="Q6:Q7"/>
    <mergeCell ref="R6:R7"/>
  </mergeCells>
  <hyperlinks>
    <hyperlink ref="B33" r:id="rId1" xr:uid="{00000000-0004-0000-0200-000000000000}"/>
    <hyperlink ref="M1" location="MASTER!A1" display="Back" xr:uid="{00000000-0004-0000-0200-000001000000}"/>
  </hyperlinks>
  <pageMargins left="0" right="0" top="0" bottom="0" header="0" footer="0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4"/>
  <sheetViews>
    <sheetView workbookViewId="0">
      <selection activeCell="M1" sqref="M1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43497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7</v>
      </c>
      <c r="O4" s="108">
        <f>V33</f>
        <v>6</v>
      </c>
      <c r="P4" s="108">
        <f>W33</f>
        <v>1</v>
      </c>
      <c r="Q4" s="110">
        <f>N4-O4-P4</f>
        <v>0</v>
      </c>
      <c r="R4" s="94">
        <f>O4/N4</f>
        <v>0.8571428571428571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43507</v>
      </c>
      <c r="D6" s="16" t="s">
        <v>18</v>
      </c>
      <c r="E6" s="16" t="s">
        <v>70</v>
      </c>
      <c r="F6" s="51">
        <v>25</v>
      </c>
      <c r="G6" s="51">
        <v>38</v>
      </c>
      <c r="H6" s="51">
        <v>13</v>
      </c>
      <c r="I6" s="17">
        <v>500</v>
      </c>
      <c r="J6" s="18">
        <f>H6*I6</f>
        <v>6500</v>
      </c>
      <c r="K6" s="7"/>
      <c r="M6" s="88" t="s">
        <v>19</v>
      </c>
      <c r="N6" s="90">
        <f>SUM(N4:N5)</f>
        <v>7</v>
      </c>
      <c r="O6" s="90">
        <f>SUM(O4:O5)</f>
        <v>6</v>
      </c>
      <c r="P6" s="90">
        <f>SUM(P4:P5)</f>
        <v>1</v>
      </c>
      <c r="Q6" s="92">
        <f>SUM(Q4:Q5)</f>
        <v>0</v>
      </c>
      <c r="R6" s="94">
        <f t="shared" ref="R6" si="0">O6/N6</f>
        <v>0.8571428571428571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43508</v>
      </c>
      <c r="D7" s="21" t="s">
        <v>18</v>
      </c>
      <c r="E7" s="21" t="s">
        <v>71</v>
      </c>
      <c r="F7" s="37">
        <v>45</v>
      </c>
      <c r="G7" s="37">
        <v>100</v>
      </c>
      <c r="H7" s="37">
        <v>55</v>
      </c>
      <c r="I7" s="22">
        <v>75</v>
      </c>
      <c r="J7" s="23">
        <f t="shared" ref="J7:J32" si="1">H7*I7</f>
        <v>4125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43514</v>
      </c>
      <c r="D8" s="21" t="s">
        <v>18</v>
      </c>
      <c r="E8" s="21" t="s">
        <v>72</v>
      </c>
      <c r="F8" s="37">
        <v>45</v>
      </c>
      <c r="G8" s="37">
        <v>60</v>
      </c>
      <c r="H8" s="37">
        <v>15</v>
      </c>
      <c r="I8" s="22">
        <v>75</v>
      </c>
      <c r="J8" s="23">
        <f t="shared" si="1"/>
        <v>1125</v>
      </c>
      <c r="K8" s="7"/>
      <c r="M8" s="67" t="s">
        <v>20</v>
      </c>
      <c r="N8" s="68"/>
      <c r="O8" s="69"/>
      <c r="P8" s="76">
        <f>R6</f>
        <v>0.8571428571428571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43521</v>
      </c>
      <c r="D9" s="21" t="s">
        <v>18</v>
      </c>
      <c r="E9" s="21" t="s">
        <v>73</v>
      </c>
      <c r="F9" s="37">
        <v>16</v>
      </c>
      <c r="G9" s="37">
        <v>38</v>
      </c>
      <c r="H9" s="37">
        <v>22</v>
      </c>
      <c r="I9" s="22">
        <v>500</v>
      </c>
      <c r="J9" s="23">
        <f t="shared" si="1"/>
        <v>11000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43522</v>
      </c>
      <c r="D10" s="21" t="s">
        <v>18</v>
      </c>
      <c r="E10" s="21" t="s">
        <v>73</v>
      </c>
      <c r="F10" s="37">
        <v>12</v>
      </c>
      <c r="G10" s="37">
        <v>35.799999999999997</v>
      </c>
      <c r="H10" s="37">
        <v>23.8</v>
      </c>
      <c r="I10" s="22">
        <v>500</v>
      </c>
      <c r="J10" s="23">
        <f t="shared" si="1"/>
        <v>11900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43524</v>
      </c>
      <c r="D11" s="21" t="s">
        <v>18</v>
      </c>
      <c r="E11" s="21" t="s">
        <v>73</v>
      </c>
      <c r="F11" s="37">
        <v>9</v>
      </c>
      <c r="G11" s="37">
        <v>5</v>
      </c>
      <c r="H11" s="37">
        <v>-4</v>
      </c>
      <c r="I11" s="22">
        <v>500</v>
      </c>
      <c r="J11" s="23">
        <f t="shared" si="1"/>
        <v>-2000</v>
      </c>
      <c r="K11" s="7"/>
      <c r="V11" s="5">
        <f t="shared" si="2"/>
        <v>0</v>
      </c>
      <c r="W11" s="5">
        <f t="shared" si="3"/>
        <v>1</v>
      </c>
    </row>
    <row r="12" spans="1:23" x14ac:dyDescent="0.3">
      <c r="A12" s="6"/>
      <c r="B12" s="19">
        <v>7</v>
      </c>
      <c r="C12" s="20">
        <v>43524</v>
      </c>
      <c r="D12" s="21" t="s">
        <v>18</v>
      </c>
      <c r="E12" s="21" t="s">
        <v>74</v>
      </c>
      <c r="F12" s="37">
        <v>10</v>
      </c>
      <c r="G12" s="37">
        <v>37</v>
      </c>
      <c r="H12" s="37">
        <v>27</v>
      </c>
      <c r="I12" s="22">
        <v>100</v>
      </c>
      <c r="J12" s="23">
        <f t="shared" si="1"/>
        <v>2700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/>
      <c r="D13" s="21"/>
      <c r="E13" s="21"/>
      <c r="F13" s="37"/>
      <c r="G13" s="37"/>
      <c r="H13" s="37"/>
      <c r="I13" s="22"/>
      <c r="J13" s="23">
        <f t="shared" si="1"/>
        <v>0</v>
      </c>
      <c r="K13" s="7"/>
      <c r="V13" s="5">
        <f t="shared" si="2"/>
        <v>0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35350</v>
      </c>
      <c r="K33" s="7"/>
      <c r="V33" s="5">
        <f>SUM(V6:V32)</f>
        <v>6</v>
      </c>
      <c r="W33" s="5">
        <f>SUM(W6:W32)</f>
        <v>1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00000000-0004-0000-0300-000000000000}"/>
    <hyperlink ref="M1" location="MASTER!A1" display="Back" xr:uid="{00000000-0004-0000-0300-000001000000}"/>
  </hyperlinks>
  <pageMargins left="0" right="0" top="0" bottom="0" header="0" footer="0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4"/>
  <sheetViews>
    <sheetView workbookViewId="0">
      <selection activeCell="N13" sqref="N13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43525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8</v>
      </c>
      <c r="O4" s="108">
        <f>V33</f>
        <v>5</v>
      </c>
      <c r="P4" s="108">
        <f>W33</f>
        <v>3</v>
      </c>
      <c r="Q4" s="110">
        <f>N4-O4-P4</f>
        <v>0</v>
      </c>
      <c r="R4" s="94">
        <f>O4/N4</f>
        <v>0.625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43530</v>
      </c>
      <c r="D6" s="16" t="s">
        <v>18</v>
      </c>
      <c r="E6" s="16" t="s">
        <v>75</v>
      </c>
      <c r="F6" s="51">
        <v>35</v>
      </c>
      <c r="G6" s="51">
        <v>1</v>
      </c>
      <c r="H6" s="51">
        <v>-34</v>
      </c>
      <c r="I6" s="17">
        <v>75</v>
      </c>
      <c r="J6" s="18">
        <f>H6*I6</f>
        <v>-2550</v>
      </c>
      <c r="K6" s="7"/>
      <c r="M6" s="88" t="s">
        <v>19</v>
      </c>
      <c r="N6" s="90">
        <f>SUM(N4:N5)</f>
        <v>8</v>
      </c>
      <c r="O6" s="90">
        <f>SUM(O4:O5)</f>
        <v>5</v>
      </c>
      <c r="P6" s="90">
        <f>SUM(P4:P5)</f>
        <v>3</v>
      </c>
      <c r="Q6" s="92">
        <f>SUM(Q4:Q5)</f>
        <v>0</v>
      </c>
      <c r="R6" s="94">
        <f t="shared" ref="R6" si="0">O6/N6</f>
        <v>0.625</v>
      </c>
      <c r="V6" s="5">
        <f>IF($J6&gt;0,1,0)</f>
        <v>0</v>
      </c>
      <c r="W6" s="5">
        <f>IF($J6&lt;0,1,0)</f>
        <v>1</v>
      </c>
    </row>
    <row r="7" spans="1:23" ht="15" thickBot="1" x14ac:dyDescent="0.35">
      <c r="A7" s="6"/>
      <c r="B7" s="19">
        <v>2</v>
      </c>
      <c r="C7" s="20">
        <v>43537</v>
      </c>
      <c r="D7" s="21" t="s">
        <v>18</v>
      </c>
      <c r="E7" s="21" t="s">
        <v>76</v>
      </c>
      <c r="F7" s="37">
        <v>23</v>
      </c>
      <c r="G7" s="37">
        <v>31.5</v>
      </c>
      <c r="H7" s="37">
        <v>8.5</v>
      </c>
      <c r="I7" s="22">
        <v>500</v>
      </c>
      <c r="J7" s="23">
        <f t="shared" ref="J7:J32" si="1">H7*I7</f>
        <v>4250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43537</v>
      </c>
      <c r="D8" s="21" t="s">
        <v>18</v>
      </c>
      <c r="E8" s="21" t="s">
        <v>77</v>
      </c>
      <c r="F8" s="37">
        <v>10</v>
      </c>
      <c r="G8" s="37">
        <v>1</v>
      </c>
      <c r="H8" s="37">
        <v>-9</v>
      </c>
      <c r="I8" s="22">
        <v>75</v>
      </c>
      <c r="J8" s="23">
        <f t="shared" si="1"/>
        <v>-675</v>
      </c>
      <c r="K8" s="7"/>
      <c r="M8" s="67" t="s">
        <v>20</v>
      </c>
      <c r="N8" s="68"/>
      <c r="O8" s="69"/>
      <c r="P8" s="76">
        <f>R6</f>
        <v>0.625</v>
      </c>
      <c r="Q8" s="77"/>
      <c r="R8" s="78"/>
      <c r="V8" s="5">
        <f t="shared" si="2"/>
        <v>0</v>
      </c>
      <c r="W8" s="5">
        <f t="shared" si="3"/>
        <v>1</v>
      </c>
    </row>
    <row r="9" spans="1:23" x14ac:dyDescent="0.3">
      <c r="A9" s="6"/>
      <c r="B9" s="19">
        <v>4</v>
      </c>
      <c r="C9" s="20">
        <v>43538</v>
      </c>
      <c r="D9" s="21" t="s">
        <v>18</v>
      </c>
      <c r="E9" s="21" t="s">
        <v>78</v>
      </c>
      <c r="F9" s="37">
        <v>25</v>
      </c>
      <c r="G9" s="37">
        <v>1</v>
      </c>
      <c r="H9" s="37">
        <v>-24</v>
      </c>
      <c r="I9" s="22">
        <v>20</v>
      </c>
      <c r="J9" s="23">
        <f t="shared" si="1"/>
        <v>-480</v>
      </c>
      <c r="K9" s="7"/>
      <c r="M9" s="70"/>
      <c r="N9" s="71"/>
      <c r="O9" s="72"/>
      <c r="P9" s="79"/>
      <c r="Q9" s="80"/>
      <c r="R9" s="81"/>
      <c r="V9" s="5">
        <f t="shared" si="2"/>
        <v>0</v>
      </c>
      <c r="W9" s="5">
        <f t="shared" si="3"/>
        <v>1</v>
      </c>
    </row>
    <row r="10" spans="1:23" ht="15" thickBot="1" x14ac:dyDescent="0.35">
      <c r="A10" s="6"/>
      <c r="B10" s="19">
        <v>5</v>
      </c>
      <c r="C10" s="20">
        <v>43542</v>
      </c>
      <c r="D10" s="21" t="s">
        <v>18</v>
      </c>
      <c r="E10" s="21" t="s">
        <v>79</v>
      </c>
      <c r="F10" s="37">
        <v>15</v>
      </c>
      <c r="G10" s="37">
        <v>21.95</v>
      </c>
      <c r="H10" s="37">
        <v>6.95</v>
      </c>
      <c r="I10" s="22">
        <v>75</v>
      </c>
      <c r="J10" s="23">
        <f t="shared" si="1"/>
        <v>521.25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43542</v>
      </c>
      <c r="D11" s="21" t="s">
        <v>18</v>
      </c>
      <c r="E11" s="21" t="s">
        <v>80</v>
      </c>
      <c r="F11" s="37">
        <v>10</v>
      </c>
      <c r="G11" s="37">
        <v>15</v>
      </c>
      <c r="H11" s="37">
        <v>5</v>
      </c>
      <c r="I11" s="22">
        <v>500</v>
      </c>
      <c r="J11" s="23">
        <f t="shared" si="1"/>
        <v>2500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43552</v>
      </c>
      <c r="D12" s="21" t="s">
        <v>18</v>
      </c>
      <c r="E12" s="21" t="s">
        <v>81</v>
      </c>
      <c r="F12" s="37">
        <v>100</v>
      </c>
      <c r="G12" s="37">
        <v>295</v>
      </c>
      <c r="H12" s="37">
        <v>195</v>
      </c>
      <c r="I12" s="22">
        <v>20</v>
      </c>
      <c r="J12" s="23">
        <f t="shared" si="1"/>
        <v>3900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43553</v>
      </c>
      <c r="D13" s="21" t="s">
        <v>18</v>
      </c>
      <c r="E13" s="21" t="s">
        <v>82</v>
      </c>
      <c r="F13" s="37">
        <v>15</v>
      </c>
      <c r="G13" s="37">
        <v>23</v>
      </c>
      <c r="H13" s="37">
        <v>8</v>
      </c>
      <c r="I13" s="22">
        <v>20</v>
      </c>
      <c r="J13" s="23">
        <f t="shared" si="1"/>
        <v>160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7626.25</v>
      </c>
      <c r="K33" s="7"/>
      <c r="V33" s="5">
        <f>SUM(V6:V32)</f>
        <v>5</v>
      </c>
      <c r="W33" s="5">
        <f>SUM(W6:W32)</f>
        <v>3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3:H33"/>
    <mergeCell ref="M6:M7"/>
    <mergeCell ref="N6:N7"/>
    <mergeCell ref="O6:O7"/>
    <mergeCell ref="P6:P7"/>
    <mergeCell ref="Q6:Q7"/>
    <mergeCell ref="R6:R7"/>
  </mergeCells>
  <hyperlinks>
    <hyperlink ref="B33" r:id="rId1" xr:uid="{00000000-0004-0000-0400-000000000000}"/>
    <hyperlink ref="M1" location="MASTER!A1" display="Back" xr:uid="{00000000-0004-0000-0400-000001000000}"/>
  </hyperlinks>
  <pageMargins left="0" right="0" top="0" bottom="0" header="0" footer="0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4"/>
  <sheetViews>
    <sheetView workbookViewId="0">
      <selection activeCell="M1" sqref="M1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43556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3</v>
      </c>
      <c r="O4" s="108">
        <f>V33</f>
        <v>3</v>
      </c>
      <c r="P4" s="108">
        <f>W33</f>
        <v>0</v>
      </c>
      <c r="Q4" s="110">
        <f>N4-O4-P4</f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43559</v>
      </c>
      <c r="D6" s="16" t="s">
        <v>18</v>
      </c>
      <c r="E6" s="16" t="s">
        <v>83</v>
      </c>
      <c r="F6" s="51">
        <v>25</v>
      </c>
      <c r="G6" s="51">
        <v>38.450000000000003</v>
      </c>
      <c r="H6" s="51">
        <v>13.45</v>
      </c>
      <c r="I6" s="17">
        <v>500</v>
      </c>
      <c r="J6" s="18">
        <f>H6*I6</f>
        <v>6725</v>
      </c>
      <c r="K6" s="7"/>
      <c r="M6" s="88" t="s">
        <v>19</v>
      </c>
      <c r="N6" s="90">
        <f>SUM(N4:N5)</f>
        <v>3</v>
      </c>
      <c r="O6" s="90">
        <f>SUM(O4:O5)</f>
        <v>3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43577</v>
      </c>
      <c r="D7" s="21" t="s">
        <v>18</v>
      </c>
      <c r="E7" s="21" t="s">
        <v>85</v>
      </c>
      <c r="F7" s="37">
        <v>12</v>
      </c>
      <c r="G7" s="37">
        <v>30.5</v>
      </c>
      <c r="H7" s="37">
        <v>18.5</v>
      </c>
      <c r="I7" s="22">
        <v>500</v>
      </c>
      <c r="J7" s="23">
        <f t="shared" ref="J7:J32" si="1">H7*I7</f>
        <v>9250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43578</v>
      </c>
      <c r="D8" s="21" t="s">
        <v>18</v>
      </c>
      <c r="E8" s="21" t="s">
        <v>84</v>
      </c>
      <c r="F8" s="37">
        <v>5</v>
      </c>
      <c r="G8" s="37">
        <v>8.4</v>
      </c>
      <c r="H8" s="37">
        <v>3.4</v>
      </c>
      <c r="I8" s="22">
        <v>1200</v>
      </c>
      <c r="J8" s="23">
        <f t="shared" si="1"/>
        <v>4080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/>
      <c r="D9" s="21"/>
      <c r="E9" s="21"/>
      <c r="F9" s="37"/>
      <c r="G9" s="37"/>
      <c r="H9" s="37"/>
      <c r="I9" s="22"/>
      <c r="J9" s="23">
        <f t="shared" si="1"/>
        <v>0</v>
      </c>
      <c r="K9" s="7"/>
      <c r="M9" s="70"/>
      <c r="N9" s="71"/>
      <c r="O9" s="72"/>
      <c r="P9" s="79"/>
      <c r="Q9" s="80"/>
      <c r="R9" s="81"/>
      <c r="V9" s="5">
        <f t="shared" si="2"/>
        <v>0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/>
      <c r="D10" s="21"/>
      <c r="E10" s="21"/>
      <c r="F10" s="37"/>
      <c r="G10" s="37"/>
      <c r="H10" s="37"/>
      <c r="I10" s="22"/>
      <c r="J10" s="23">
        <f t="shared" si="1"/>
        <v>0</v>
      </c>
      <c r="K10" s="7"/>
      <c r="M10" s="73"/>
      <c r="N10" s="74"/>
      <c r="O10" s="75"/>
      <c r="P10" s="82"/>
      <c r="Q10" s="83"/>
      <c r="R10" s="84"/>
      <c r="V10" s="5">
        <f t="shared" si="2"/>
        <v>0</v>
      </c>
      <c r="W10" s="5">
        <f t="shared" si="3"/>
        <v>0</v>
      </c>
    </row>
    <row r="11" spans="1:23" x14ac:dyDescent="0.3">
      <c r="A11" s="6"/>
      <c r="B11" s="19">
        <v>6</v>
      </c>
      <c r="C11" s="20"/>
      <c r="D11" s="21"/>
      <c r="E11" s="21"/>
      <c r="F11" s="37"/>
      <c r="G11" s="37"/>
      <c r="H11" s="37"/>
      <c r="I11" s="22"/>
      <c r="J11" s="23">
        <f t="shared" si="1"/>
        <v>0</v>
      </c>
      <c r="K11" s="7"/>
      <c r="V11" s="5">
        <f t="shared" si="2"/>
        <v>0</v>
      </c>
      <c r="W11" s="5">
        <f t="shared" si="3"/>
        <v>0</v>
      </c>
    </row>
    <row r="12" spans="1:23" x14ac:dyDescent="0.3">
      <c r="A12" s="6"/>
      <c r="B12" s="19">
        <v>7</v>
      </c>
      <c r="C12" s="20"/>
      <c r="D12" s="21"/>
      <c r="E12" s="21"/>
      <c r="F12" s="37"/>
      <c r="G12" s="37"/>
      <c r="H12" s="37"/>
      <c r="I12" s="22"/>
      <c r="J12" s="23">
        <f t="shared" si="1"/>
        <v>0</v>
      </c>
      <c r="K12" s="7"/>
      <c r="V12" s="5">
        <f t="shared" si="2"/>
        <v>0</v>
      </c>
      <c r="W12" s="5">
        <f t="shared" si="3"/>
        <v>0</v>
      </c>
    </row>
    <row r="13" spans="1:23" x14ac:dyDescent="0.3">
      <c r="A13" s="6"/>
      <c r="B13" s="19">
        <v>8</v>
      </c>
      <c r="C13" s="20"/>
      <c r="D13" s="21"/>
      <c r="E13" s="21"/>
      <c r="F13" s="37"/>
      <c r="G13" s="37"/>
      <c r="H13" s="37"/>
      <c r="I13" s="22"/>
      <c r="J13" s="23">
        <f t="shared" si="1"/>
        <v>0</v>
      </c>
      <c r="K13" s="7"/>
      <c r="V13" s="5">
        <f t="shared" si="2"/>
        <v>0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20055</v>
      </c>
      <c r="K33" s="7"/>
      <c r="V33" s="5">
        <f>SUM(V6:V32)</f>
        <v>3</v>
      </c>
      <c r="W33" s="5">
        <f>SUM(W6:W32)</f>
        <v>0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3:H33"/>
    <mergeCell ref="M6:M7"/>
    <mergeCell ref="N6:N7"/>
    <mergeCell ref="O6:O7"/>
    <mergeCell ref="P6:P7"/>
    <mergeCell ref="Q6:Q7"/>
    <mergeCell ref="R6:R7"/>
  </mergeCells>
  <hyperlinks>
    <hyperlink ref="B33" r:id="rId1" xr:uid="{00000000-0004-0000-0500-000000000000}"/>
    <hyperlink ref="M1" location="MASTER!A1" display="Back" xr:uid="{00000000-0004-0000-0500-000001000000}"/>
  </hyperlinks>
  <pageMargins left="0" right="0" top="0" bottom="0" header="0" footer="0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4"/>
  <sheetViews>
    <sheetView workbookViewId="0">
      <selection activeCell="P4" sqref="P4:P5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43586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3</v>
      </c>
      <c r="O4" s="108">
        <f>V33</f>
        <v>3</v>
      </c>
      <c r="P4" s="108">
        <f>W33</f>
        <v>0</v>
      </c>
      <c r="Q4" s="110">
        <f>N4-O4-P4</f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43592</v>
      </c>
      <c r="D6" s="16" t="s">
        <v>18</v>
      </c>
      <c r="E6" s="16" t="s">
        <v>86</v>
      </c>
      <c r="F6" s="51">
        <v>220</v>
      </c>
      <c r="G6" s="51">
        <v>400</v>
      </c>
      <c r="H6" s="51">
        <v>180</v>
      </c>
      <c r="I6" s="17">
        <v>75</v>
      </c>
      <c r="J6" s="18">
        <f>H6*I6</f>
        <v>13500</v>
      </c>
      <c r="K6" s="7"/>
      <c r="M6" s="88" t="s">
        <v>19</v>
      </c>
      <c r="N6" s="90">
        <f>SUM(N4:N5)</f>
        <v>3</v>
      </c>
      <c r="O6" s="90">
        <f>SUM(O4:O5)</f>
        <v>3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43607</v>
      </c>
      <c r="D7" s="21" t="s">
        <v>18</v>
      </c>
      <c r="E7" s="21" t="s">
        <v>87</v>
      </c>
      <c r="F7" s="37">
        <v>80</v>
      </c>
      <c r="G7" s="37">
        <v>103</v>
      </c>
      <c r="H7" s="37">
        <v>23</v>
      </c>
      <c r="I7" s="22">
        <v>75</v>
      </c>
      <c r="J7" s="23">
        <f t="shared" ref="J7:J32" si="1">H7*I7</f>
        <v>1725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43612</v>
      </c>
      <c r="D8" s="21" t="s">
        <v>18</v>
      </c>
      <c r="E8" s="21" t="s">
        <v>80</v>
      </c>
      <c r="F8" s="37">
        <v>12</v>
      </c>
      <c r="G8" s="37">
        <v>21.7</v>
      </c>
      <c r="H8" s="37">
        <v>9.6999999999999993</v>
      </c>
      <c r="I8" s="22">
        <v>500</v>
      </c>
      <c r="J8" s="23">
        <f t="shared" si="1"/>
        <v>4850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/>
      <c r="D9" s="21"/>
      <c r="E9" s="21"/>
      <c r="F9" s="37"/>
      <c r="G9" s="37"/>
      <c r="H9" s="37"/>
      <c r="I9" s="22"/>
      <c r="J9" s="23">
        <f t="shared" si="1"/>
        <v>0</v>
      </c>
      <c r="K9" s="7"/>
      <c r="M9" s="70"/>
      <c r="N9" s="71"/>
      <c r="O9" s="72"/>
      <c r="P9" s="79"/>
      <c r="Q9" s="80"/>
      <c r="R9" s="81"/>
      <c r="V9" s="5">
        <f t="shared" si="2"/>
        <v>0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/>
      <c r="D10" s="21"/>
      <c r="E10" s="21"/>
      <c r="F10" s="37"/>
      <c r="G10" s="37"/>
      <c r="H10" s="37"/>
      <c r="I10" s="22"/>
      <c r="J10" s="23">
        <f t="shared" si="1"/>
        <v>0</v>
      </c>
      <c r="K10" s="7"/>
      <c r="M10" s="73"/>
      <c r="N10" s="74"/>
      <c r="O10" s="75"/>
      <c r="P10" s="82"/>
      <c r="Q10" s="83"/>
      <c r="R10" s="84"/>
      <c r="V10" s="5">
        <f t="shared" si="2"/>
        <v>0</v>
      </c>
      <c r="W10" s="5">
        <f t="shared" si="3"/>
        <v>0</v>
      </c>
    </row>
    <row r="11" spans="1:23" x14ac:dyDescent="0.3">
      <c r="A11" s="6"/>
      <c r="B11" s="19">
        <v>6</v>
      </c>
      <c r="C11" s="20"/>
      <c r="D11" s="21"/>
      <c r="E11" s="21"/>
      <c r="F11" s="37"/>
      <c r="G11" s="37"/>
      <c r="H11" s="37"/>
      <c r="I11" s="22"/>
      <c r="J11" s="23">
        <f t="shared" si="1"/>
        <v>0</v>
      </c>
      <c r="K11" s="7"/>
      <c r="V11" s="5">
        <f t="shared" si="2"/>
        <v>0</v>
      </c>
      <c r="W11" s="5">
        <f t="shared" si="3"/>
        <v>0</v>
      </c>
    </row>
    <row r="12" spans="1:23" x14ac:dyDescent="0.3">
      <c r="A12" s="6"/>
      <c r="B12" s="19">
        <v>7</v>
      </c>
      <c r="C12" s="20"/>
      <c r="D12" s="21"/>
      <c r="E12" s="21"/>
      <c r="F12" s="37"/>
      <c r="G12" s="37"/>
      <c r="H12" s="37"/>
      <c r="I12" s="22"/>
      <c r="J12" s="23">
        <f t="shared" si="1"/>
        <v>0</v>
      </c>
      <c r="K12" s="7"/>
      <c r="V12" s="5">
        <f t="shared" si="2"/>
        <v>0</v>
      </c>
      <c r="W12" s="5">
        <f t="shared" si="3"/>
        <v>0</v>
      </c>
    </row>
    <row r="13" spans="1:23" x14ac:dyDescent="0.3">
      <c r="A13" s="6"/>
      <c r="B13" s="19">
        <v>8</v>
      </c>
      <c r="C13" s="20"/>
      <c r="D13" s="21"/>
      <c r="E13" s="21"/>
      <c r="F13" s="37"/>
      <c r="G13" s="37"/>
      <c r="H13" s="37"/>
      <c r="I13" s="22"/>
      <c r="J13" s="23">
        <f t="shared" si="1"/>
        <v>0</v>
      </c>
      <c r="K13" s="7"/>
      <c r="V13" s="5">
        <f t="shared" si="2"/>
        <v>0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20075</v>
      </c>
      <c r="K33" s="7"/>
      <c r="V33" s="5">
        <f>SUM(V6:V32)</f>
        <v>3</v>
      </c>
      <c r="W33" s="5">
        <f>SUM(W6:W32)</f>
        <v>0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00000000-0004-0000-0600-000000000000}"/>
    <hyperlink ref="M1" location="MASTER!A1" display="Back" xr:uid="{00000000-0004-0000-0600-000001000000}"/>
  </hyperlinks>
  <pageMargins left="0" right="0" top="0" bottom="0" header="0" footer="0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34"/>
  <sheetViews>
    <sheetView workbookViewId="0">
      <selection activeCell="J36" sqref="J36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43617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4</v>
      </c>
      <c r="O4" s="108">
        <f>V33</f>
        <v>2</v>
      </c>
      <c r="P4" s="108">
        <f>W33</f>
        <v>2</v>
      </c>
      <c r="Q4" s="110">
        <f>N4-O4-P4</f>
        <v>0</v>
      </c>
      <c r="R4" s="94">
        <f>O4/N4</f>
        <v>0.5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43620</v>
      </c>
      <c r="D6" s="16" t="s">
        <v>18</v>
      </c>
      <c r="E6" s="16" t="s">
        <v>88</v>
      </c>
      <c r="F6" s="51">
        <v>65</v>
      </c>
      <c r="G6" s="51">
        <v>134</v>
      </c>
      <c r="H6" s="51">
        <v>69</v>
      </c>
      <c r="I6" s="17">
        <v>75</v>
      </c>
      <c r="J6" s="18">
        <f>H6*I6</f>
        <v>5175</v>
      </c>
      <c r="K6" s="7"/>
      <c r="M6" s="88" t="s">
        <v>19</v>
      </c>
      <c r="N6" s="90">
        <f>SUM(N4:N5)</f>
        <v>4</v>
      </c>
      <c r="O6" s="90">
        <f>SUM(O4:O5)</f>
        <v>2</v>
      </c>
      <c r="P6" s="90">
        <f>SUM(P4:P5)</f>
        <v>2</v>
      </c>
      <c r="Q6" s="92">
        <f>SUM(Q4:Q5)</f>
        <v>0</v>
      </c>
      <c r="R6" s="94">
        <f t="shared" ref="R6" si="0">O6/N6</f>
        <v>0.5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43628</v>
      </c>
      <c r="D7" s="21" t="s">
        <v>18</v>
      </c>
      <c r="E7" s="21" t="s">
        <v>89</v>
      </c>
      <c r="F7" s="37">
        <v>34</v>
      </c>
      <c r="G7" s="37">
        <v>1</v>
      </c>
      <c r="H7" s="37">
        <v>-33</v>
      </c>
      <c r="I7" s="22">
        <v>500</v>
      </c>
      <c r="J7" s="23">
        <f t="shared" ref="J7:J32" si="1">H7*I7</f>
        <v>-16500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0</v>
      </c>
      <c r="W7" s="5">
        <f t="shared" ref="W7:W32" si="3">IF($J7&lt;0,1,0)</f>
        <v>1</v>
      </c>
    </row>
    <row r="8" spans="1:23" x14ac:dyDescent="0.3">
      <c r="A8" s="6"/>
      <c r="B8" s="19">
        <v>3</v>
      </c>
      <c r="C8" s="20">
        <v>43636</v>
      </c>
      <c r="D8" s="21" t="s">
        <v>18</v>
      </c>
      <c r="E8" s="21" t="s">
        <v>90</v>
      </c>
      <c r="F8" s="37">
        <v>20</v>
      </c>
      <c r="G8" s="37">
        <v>79</v>
      </c>
      <c r="H8" s="37">
        <v>59</v>
      </c>
      <c r="I8" s="22">
        <v>20</v>
      </c>
      <c r="J8" s="23">
        <f t="shared" si="1"/>
        <v>1180</v>
      </c>
      <c r="K8" s="7"/>
      <c r="M8" s="67" t="s">
        <v>20</v>
      </c>
      <c r="N8" s="68"/>
      <c r="O8" s="69"/>
      <c r="P8" s="76">
        <f>R6</f>
        <v>0.5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43637</v>
      </c>
      <c r="D9" s="21" t="s">
        <v>18</v>
      </c>
      <c r="E9" s="21" t="s">
        <v>91</v>
      </c>
      <c r="F9" s="37">
        <v>5</v>
      </c>
      <c r="G9" s="37">
        <v>1</v>
      </c>
      <c r="H9" s="37">
        <v>-4</v>
      </c>
      <c r="I9" s="22">
        <v>750</v>
      </c>
      <c r="J9" s="23">
        <f t="shared" si="1"/>
        <v>-3000</v>
      </c>
      <c r="K9" s="7"/>
      <c r="M9" s="70"/>
      <c r="N9" s="71"/>
      <c r="O9" s="72"/>
      <c r="P9" s="79"/>
      <c r="Q9" s="80"/>
      <c r="R9" s="81"/>
      <c r="V9" s="5">
        <f t="shared" si="2"/>
        <v>0</v>
      </c>
      <c r="W9" s="5">
        <f t="shared" si="3"/>
        <v>1</v>
      </c>
    </row>
    <row r="10" spans="1:23" ht="15" thickBot="1" x14ac:dyDescent="0.35">
      <c r="A10" s="6"/>
      <c r="B10" s="19">
        <v>5</v>
      </c>
      <c r="C10" s="20"/>
      <c r="D10" s="21"/>
      <c r="E10" s="21"/>
      <c r="F10" s="37"/>
      <c r="G10" s="37"/>
      <c r="H10" s="37"/>
      <c r="I10" s="22"/>
      <c r="J10" s="23">
        <f t="shared" si="1"/>
        <v>0</v>
      </c>
      <c r="K10" s="7"/>
      <c r="M10" s="73"/>
      <c r="N10" s="74"/>
      <c r="O10" s="75"/>
      <c r="P10" s="82"/>
      <c r="Q10" s="83"/>
      <c r="R10" s="84"/>
      <c r="V10" s="5">
        <f t="shared" si="2"/>
        <v>0</v>
      </c>
      <c r="W10" s="5">
        <f t="shared" si="3"/>
        <v>0</v>
      </c>
    </row>
    <row r="11" spans="1:23" x14ac:dyDescent="0.3">
      <c r="A11" s="6"/>
      <c r="B11" s="19">
        <v>6</v>
      </c>
      <c r="C11" s="20"/>
      <c r="D11" s="21"/>
      <c r="E11" s="21"/>
      <c r="F11" s="37"/>
      <c r="G11" s="37"/>
      <c r="H11" s="37"/>
      <c r="I11" s="22"/>
      <c r="J11" s="23">
        <f t="shared" si="1"/>
        <v>0</v>
      </c>
      <c r="K11" s="7"/>
      <c r="V11" s="5">
        <f t="shared" si="2"/>
        <v>0</v>
      </c>
      <c r="W11" s="5">
        <f t="shared" si="3"/>
        <v>0</v>
      </c>
    </row>
    <row r="12" spans="1:23" x14ac:dyDescent="0.3">
      <c r="A12" s="6"/>
      <c r="B12" s="19">
        <v>7</v>
      </c>
      <c r="C12" s="20"/>
      <c r="D12" s="21"/>
      <c r="E12" s="21"/>
      <c r="F12" s="37"/>
      <c r="G12" s="37"/>
      <c r="H12" s="37"/>
      <c r="I12" s="22"/>
      <c r="J12" s="23">
        <f t="shared" si="1"/>
        <v>0</v>
      </c>
      <c r="K12" s="7"/>
      <c r="V12" s="5">
        <f t="shared" si="2"/>
        <v>0</v>
      </c>
      <c r="W12" s="5">
        <f t="shared" si="3"/>
        <v>0</v>
      </c>
    </row>
    <row r="13" spans="1:23" x14ac:dyDescent="0.3">
      <c r="A13" s="6"/>
      <c r="B13" s="19">
        <v>8</v>
      </c>
      <c r="C13" s="20"/>
      <c r="D13" s="21"/>
      <c r="E13" s="21"/>
      <c r="F13" s="37"/>
      <c r="G13" s="37"/>
      <c r="H13" s="37"/>
      <c r="I13" s="22"/>
      <c r="J13" s="23">
        <f t="shared" si="1"/>
        <v>0</v>
      </c>
      <c r="K13" s="7"/>
      <c r="V13" s="5">
        <f t="shared" si="2"/>
        <v>0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-13145</v>
      </c>
      <c r="K33" s="7"/>
      <c r="V33" s="5">
        <f>SUM(V6:V32)</f>
        <v>2</v>
      </c>
      <c r="W33" s="5">
        <f>SUM(W6:W32)</f>
        <v>2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00000000-0004-0000-0700-000000000000}"/>
    <hyperlink ref="M1" location="MASTER!A1" display="Back" xr:uid="{00000000-0004-0000-0700-000001000000}"/>
  </hyperlinks>
  <pageMargins left="0" right="0" top="0" bottom="0" header="0" footer="0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4"/>
  <sheetViews>
    <sheetView workbookViewId="0">
      <selection activeCell="I10" sqref="I10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43647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4</v>
      </c>
      <c r="O4" s="108">
        <f>V33</f>
        <v>2</v>
      </c>
      <c r="P4" s="108">
        <f>W33</f>
        <v>2</v>
      </c>
      <c r="Q4" s="110">
        <f>N4-O4-P4</f>
        <v>0</v>
      </c>
      <c r="R4" s="94">
        <f>O4/N4</f>
        <v>0.5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43650</v>
      </c>
      <c r="D6" s="16" t="s">
        <v>18</v>
      </c>
      <c r="E6" s="16" t="s">
        <v>92</v>
      </c>
      <c r="F6" s="51">
        <v>55</v>
      </c>
      <c r="G6" s="51">
        <v>1</v>
      </c>
      <c r="H6" s="51">
        <v>-54</v>
      </c>
      <c r="I6" s="17">
        <v>75</v>
      </c>
      <c r="J6" s="18">
        <f>H6*I6</f>
        <v>-4050</v>
      </c>
      <c r="K6" s="7"/>
      <c r="M6" s="88" t="s">
        <v>19</v>
      </c>
      <c r="N6" s="90">
        <f>SUM(N4:N5)</f>
        <v>4</v>
      </c>
      <c r="O6" s="90">
        <f>SUM(O4:O5)</f>
        <v>2</v>
      </c>
      <c r="P6" s="90">
        <f>SUM(P4:P5)</f>
        <v>2</v>
      </c>
      <c r="Q6" s="92">
        <f>SUM(Q4:Q5)</f>
        <v>0</v>
      </c>
      <c r="R6" s="94">
        <f t="shared" ref="R6" si="0">O6/N6</f>
        <v>0.5</v>
      </c>
      <c r="V6" s="5">
        <f>IF($J6&gt;0,1,0)</f>
        <v>0</v>
      </c>
      <c r="W6" s="5">
        <f>IF($J6&lt;0,1,0)</f>
        <v>1</v>
      </c>
    </row>
    <row r="7" spans="1:23" ht="15" thickBot="1" x14ac:dyDescent="0.35">
      <c r="A7" s="6"/>
      <c r="B7" s="19">
        <v>2</v>
      </c>
      <c r="C7" s="20">
        <v>43654</v>
      </c>
      <c r="D7" s="21" t="s">
        <v>18</v>
      </c>
      <c r="E7" s="21" t="s">
        <v>93</v>
      </c>
      <c r="F7" s="37">
        <v>65</v>
      </c>
      <c r="G7" s="37">
        <v>25</v>
      </c>
      <c r="H7" s="37">
        <v>-40</v>
      </c>
      <c r="I7" s="22">
        <v>20</v>
      </c>
      <c r="J7" s="23">
        <f t="shared" ref="J7:J32" si="1">H7*I7</f>
        <v>-800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0</v>
      </c>
      <c r="W7" s="5">
        <f t="shared" ref="W7:W32" si="3">IF($J7&lt;0,1,0)</f>
        <v>1</v>
      </c>
    </row>
    <row r="8" spans="1:23" x14ac:dyDescent="0.3">
      <c r="A8" s="6"/>
      <c r="B8" s="19">
        <v>3</v>
      </c>
      <c r="C8" s="20">
        <v>43668</v>
      </c>
      <c r="D8" s="21" t="s">
        <v>18</v>
      </c>
      <c r="E8" s="21" t="s">
        <v>94</v>
      </c>
      <c r="F8" s="37">
        <v>1.8</v>
      </c>
      <c r="G8" s="37">
        <v>2.6</v>
      </c>
      <c r="H8" s="37">
        <v>0.8</v>
      </c>
      <c r="I8" s="22">
        <v>2000</v>
      </c>
      <c r="J8" s="23">
        <f t="shared" si="1"/>
        <v>1600</v>
      </c>
      <c r="K8" s="7"/>
      <c r="M8" s="67" t="s">
        <v>20</v>
      </c>
      <c r="N8" s="68"/>
      <c r="O8" s="69"/>
      <c r="P8" s="76">
        <f>R6</f>
        <v>0.5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43677</v>
      </c>
      <c r="D9" s="21" t="s">
        <v>18</v>
      </c>
      <c r="E9" s="21" t="s">
        <v>95</v>
      </c>
      <c r="F9" s="37">
        <v>30</v>
      </c>
      <c r="G9" s="37">
        <v>30</v>
      </c>
      <c r="H9" s="37">
        <v>30</v>
      </c>
      <c r="I9" s="22">
        <v>75</v>
      </c>
      <c r="J9" s="23">
        <f t="shared" si="1"/>
        <v>2250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/>
      <c r="D10" s="21"/>
      <c r="E10" s="21"/>
      <c r="F10" s="37"/>
      <c r="G10" s="37"/>
      <c r="H10" s="37"/>
      <c r="I10" s="22"/>
      <c r="J10" s="23">
        <f t="shared" si="1"/>
        <v>0</v>
      </c>
      <c r="K10" s="7"/>
      <c r="M10" s="73"/>
      <c r="N10" s="74"/>
      <c r="O10" s="75"/>
      <c r="P10" s="82"/>
      <c r="Q10" s="83"/>
      <c r="R10" s="84"/>
      <c r="V10" s="5">
        <f t="shared" si="2"/>
        <v>0</v>
      </c>
      <c r="W10" s="5">
        <f t="shared" si="3"/>
        <v>0</v>
      </c>
    </row>
    <row r="11" spans="1:23" x14ac:dyDescent="0.3">
      <c r="A11" s="6"/>
      <c r="B11" s="19">
        <v>6</v>
      </c>
      <c r="C11" s="20"/>
      <c r="D11" s="21"/>
      <c r="E11" s="21"/>
      <c r="F11" s="37"/>
      <c r="G11" s="37"/>
      <c r="H11" s="37"/>
      <c r="I11" s="22"/>
      <c r="J11" s="23">
        <f t="shared" si="1"/>
        <v>0</v>
      </c>
      <c r="K11" s="7"/>
      <c r="V11" s="5">
        <f t="shared" si="2"/>
        <v>0</v>
      </c>
      <c r="W11" s="5">
        <f t="shared" si="3"/>
        <v>0</v>
      </c>
    </row>
    <row r="12" spans="1:23" x14ac:dyDescent="0.3">
      <c r="A12" s="6"/>
      <c r="B12" s="19">
        <v>7</v>
      </c>
      <c r="C12" s="20"/>
      <c r="D12" s="21"/>
      <c r="E12" s="21"/>
      <c r="F12" s="37"/>
      <c r="G12" s="37"/>
      <c r="H12" s="37"/>
      <c r="I12" s="22"/>
      <c r="J12" s="23">
        <f t="shared" si="1"/>
        <v>0</v>
      </c>
      <c r="K12" s="7"/>
      <c r="V12" s="5">
        <f t="shared" si="2"/>
        <v>0</v>
      </c>
      <c r="W12" s="5">
        <f t="shared" si="3"/>
        <v>0</v>
      </c>
    </row>
    <row r="13" spans="1:23" x14ac:dyDescent="0.3">
      <c r="A13" s="6"/>
      <c r="B13" s="19">
        <v>8</v>
      </c>
      <c r="C13" s="20"/>
      <c r="D13" s="21"/>
      <c r="E13" s="21"/>
      <c r="F13" s="37"/>
      <c r="G13" s="37"/>
      <c r="H13" s="37"/>
      <c r="I13" s="22"/>
      <c r="J13" s="23">
        <f t="shared" si="1"/>
        <v>0</v>
      </c>
      <c r="K13" s="7"/>
      <c r="V13" s="5">
        <f t="shared" si="2"/>
        <v>0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-1000</v>
      </c>
      <c r="K33" s="7"/>
      <c r="V33" s="5">
        <f>SUM(V6:V32)</f>
        <v>2</v>
      </c>
      <c r="W33" s="5">
        <f>SUM(W6:W32)</f>
        <v>2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3:H33"/>
    <mergeCell ref="M6:M7"/>
    <mergeCell ref="N6:N7"/>
    <mergeCell ref="O6:O7"/>
    <mergeCell ref="P6:P7"/>
    <mergeCell ref="Q6:Q7"/>
    <mergeCell ref="R6:R7"/>
  </mergeCells>
  <hyperlinks>
    <hyperlink ref="B33" r:id="rId1" xr:uid="{00000000-0004-0000-0800-000000000000}"/>
    <hyperlink ref="M1" location="MASTER!A1" display="Back" xr:uid="{00000000-0004-0000-0800-000001000000}"/>
  </hyperlinks>
  <pageMargins left="0" right="0" top="0" bottom="0" header="0" footer="0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4"/>
  <sheetViews>
    <sheetView topLeftCell="M1" workbookViewId="0">
      <selection activeCell="O4" sqref="O4:Q5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43678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2</v>
      </c>
      <c r="O4" s="108">
        <f>V33</f>
        <v>1</v>
      </c>
      <c r="P4" s="108">
        <f>W33</f>
        <v>1</v>
      </c>
      <c r="Q4" s="110">
        <f>N4-O4-P4</f>
        <v>0</v>
      </c>
      <c r="R4" s="94">
        <f>O4/N4</f>
        <v>0.5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43698</v>
      </c>
      <c r="D6" s="16" t="s">
        <v>18</v>
      </c>
      <c r="E6" s="16" t="s">
        <v>96</v>
      </c>
      <c r="F6" s="51">
        <v>5</v>
      </c>
      <c r="G6" s="51">
        <v>9.9</v>
      </c>
      <c r="H6" s="51">
        <v>4.9000000000000004</v>
      </c>
      <c r="I6" s="17">
        <v>3000</v>
      </c>
      <c r="J6" s="18">
        <f>H6*I6</f>
        <v>14700.000000000002</v>
      </c>
      <c r="K6" s="7"/>
      <c r="M6" s="88" t="s">
        <v>19</v>
      </c>
      <c r="N6" s="90">
        <f>SUM(N4:N5)</f>
        <v>2</v>
      </c>
      <c r="O6" s="90">
        <f>SUM(O4:O5)</f>
        <v>1</v>
      </c>
      <c r="P6" s="90">
        <f>SUM(P4:P5)</f>
        <v>1</v>
      </c>
      <c r="Q6" s="92">
        <f>SUM(Q4:Q5)</f>
        <v>0</v>
      </c>
      <c r="R6" s="94">
        <f t="shared" ref="R6" si="0">O6/N6</f>
        <v>0.5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43705</v>
      </c>
      <c r="D7" s="21" t="s">
        <v>18</v>
      </c>
      <c r="E7" s="21" t="s">
        <v>97</v>
      </c>
      <c r="F7" s="37">
        <v>20</v>
      </c>
      <c r="G7" s="37">
        <v>1</v>
      </c>
      <c r="H7" s="37">
        <v>-19</v>
      </c>
      <c r="I7" s="22">
        <v>400</v>
      </c>
      <c r="J7" s="23">
        <f t="shared" ref="J7:J32" si="1">H7*I7</f>
        <v>-7600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0</v>
      </c>
      <c r="W7" s="5">
        <f t="shared" ref="W7:W32" si="3">IF($J7&lt;0,1,0)</f>
        <v>1</v>
      </c>
    </row>
    <row r="8" spans="1:23" x14ac:dyDescent="0.3">
      <c r="A8" s="6"/>
      <c r="B8" s="19">
        <v>3</v>
      </c>
      <c r="C8" s="20"/>
      <c r="D8" s="21"/>
      <c r="E8" s="21"/>
      <c r="F8" s="37"/>
      <c r="G8" s="37"/>
      <c r="H8" s="37"/>
      <c r="I8" s="22"/>
      <c r="J8" s="23">
        <f t="shared" si="1"/>
        <v>0</v>
      </c>
      <c r="K8" s="7"/>
      <c r="M8" s="67" t="s">
        <v>20</v>
      </c>
      <c r="N8" s="68"/>
      <c r="O8" s="69"/>
      <c r="P8" s="76">
        <f>R6</f>
        <v>0.5</v>
      </c>
      <c r="Q8" s="77"/>
      <c r="R8" s="78"/>
      <c r="V8" s="5">
        <f t="shared" si="2"/>
        <v>0</v>
      </c>
      <c r="W8" s="5">
        <f t="shared" si="3"/>
        <v>0</v>
      </c>
    </row>
    <row r="9" spans="1:23" x14ac:dyDescent="0.3">
      <c r="A9" s="6"/>
      <c r="B9" s="19">
        <v>4</v>
      </c>
      <c r="C9" s="20"/>
      <c r="D9" s="21"/>
      <c r="E9" s="21"/>
      <c r="F9" s="37"/>
      <c r="G9" s="37"/>
      <c r="H9" s="37"/>
      <c r="I9" s="22"/>
      <c r="J9" s="23">
        <f t="shared" si="1"/>
        <v>0</v>
      </c>
      <c r="K9" s="7"/>
      <c r="M9" s="70"/>
      <c r="N9" s="71"/>
      <c r="O9" s="72"/>
      <c r="P9" s="79"/>
      <c r="Q9" s="80"/>
      <c r="R9" s="81"/>
      <c r="V9" s="5">
        <f t="shared" si="2"/>
        <v>0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/>
      <c r="D10" s="21"/>
      <c r="E10" s="21"/>
      <c r="F10" s="37"/>
      <c r="G10" s="37"/>
      <c r="H10" s="37"/>
      <c r="I10" s="22"/>
      <c r="J10" s="23">
        <f t="shared" si="1"/>
        <v>0</v>
      </c>
      <c r="K10" s="7"/>
      <c r="M10" s="73"/>
      <c r="N10" s="74"/>
      <c r="O10" s="75"/>
      <c r="P10" s="82"/>
      <c r="Q10" s="83"/>
      <c r="R10" s="84"/>
      <c r="V10" s="5">
        <f t="shared" si="2"/>
        <v>0</v>
      </c>
      <c r="W10" s="5">
        <f t="shared" si="3"/>
        <v>0</v>
      </c>
    </row>
    <row r="11" spans="1:23" x14ac:dyDescent="0.3">
      <c r="A11" s="6"/>
      <c r="B11" s="19">
        <v>6</v>
      </c>
      <c r="C11" s="20"/>
      <c r="D11" s="21"/>
      <c r="E11" s="21"/>
      <c r="F11" s="37"/>
      <c r="G11" s="37"/>
      <c r="H11" s="37"/>
      <c r="I11" s="22"/>
      <c r="J11" s="23">
        <f t="shared" si="1"/>
        <v>0</v>
      </c>
      <c r="K11" s="7"/>
      <c r="V11" s="5">
        <f t="shared" si="2"/>
        <v>0</v>
      </c>
      <c r="W11" s="5">
        <f t="shared" si="3"/>
        <v>0</v>
      </c>
    </row>
    <row r="12" spans="1:23" x14ac:dyDescent="0.3">
      <c r="A12" s="6"/>
      <c r="B12" s="19">
        <v>7</v>
      </c>
      <c r="C12" s="20"/>
      <c r="D12" s="21"/>
      <c r="E12" s="21"/>
      <c r="F12" s="37"/>
      <c r="G12" s="37"/>
      <c r="H12" s="37"/>
      <c r="I12" s="22"/>
      <c r="J12" s="23">
        <f t="shared" si="1"/>
        <v>0</v>
      </c>
      <c r="K12" s="7"/>
      <c r="V12" s="5">
        <f t="shared" si="2"/>
        <v>0</v>
      </c>
      <c r="W12" s="5">
        <f t="shared" si="3"/>
        <v>0</v>
      </c>
    </row>
    <row r="13" spans="1:23" x14ac:dyDescent="0.3">
      <c r="A13" s="6"/>
      <c r="B13" s="19">
        <v>8</v>
      </c>
      <c r="C13" s="20"/>
      <c r="D13" s="21"/>
      <c r="E13" s="21"/>
      <c r="F13" s="37"/>
      <c r="G13" s="37"/>
      <c r="H13" s="37"/>
      <c r="I13" s="22"/>
      <c r="J13" s="23">
        <f t="shared" si="1"/>
        <v>0</v>
      </c>
      <c r="K13" s="7"/>
      <c r="V13" s="5">
        <f t="shared" si="2"/>
        <v>0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7100.0000000000018</v>
      </c>
      <c r="K33" s="7"/>
      <c r="V33" s="5">
        <f>SUM(V6:V32)</f>
        <v>1</v>
      </c>
      <c r="W33" s="5">
        <f>SUM(W6:W32)</f>
        <v>1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3:H33"/>
    <mergeCell ref="M6:M7"/>
    <mergeCell ref="N6:N7"/>
    <mergeCell ref="O6:O7"/>
    <mergeCell ref="P6:P7"/>
    <mergeCell ref="Q6:Q7"/>
    <mergeCell ref="R6:R7"/>
  </mergeCells>
  <hyperlinks>
    <hyperlink ref="B33" r:id="rId1" xr:uid="{00000000-0004-0000-0900-000000000000}"/>
    <hyperlink ref="M1" location="MASTER!A1" display="Back" xr:uid="{00000000-0004-0000-0900-000001000000}"/>
  </hyperlinks>
  <pageMargins left="0" right="0" top="0" bottom="0" header="0" footer="0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4"/>
  <sheetViews>
    <sheetView workbookViewId="0">
      <selection activeCell="I12" sqref="I12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43709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7</v>
      </c>
      <c r="O4" s="108">
        <f>V33</f>
        <v>4</v>
      </c>
      <c r="P4" s="108">
        <f>W33</f>
        <v>3</v>
      </c>
      <c r="Q4" s="110">
        <f>N4-O4-P4</f>
        <v>0</v>
      </c>
      <c r="R4" s="94">
        <f>O4/N4</f>
        <v>0.5714285714285714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43712</v>
      </c>
      <c r="D6" s="16" t="s">
        <v>18</v>
      </c>
      <c r="E6" s="16" t="s">
        <v>98</v>
      </c>
      <c r="F6" s="51">
        <v>35</v>
      </c>
      <c r="G6" s="51">
        <v>1</v>
      </c>
      <c r="H6" s="51">
        <v>-34</v>
      </c>
      <c r="I6" s="17">
        <v>75</v>
      </c>
      <c r="J6" s="18">
        <f>H6*I6</f>
        <v>-2550</v>
      </c>
      <c r="K6" s="7"/>
      <c r="M6" s="88" t="s">
        <v>19</v>
      </c>
      <c r="N6" s="90">
        <f>SUM(N4:N5)</f>
        <v>7</v>
      </c>
      <c r="O6" s="90">
        <f>SUM(O4:O5)</f>
        <v>4</v>
      </c>
      <c r="P6" s="90">
        <f>SUM(P4:P5)</f>
        <v>3</v>
      </c>
      <c r="Q6" s="92">
        <f>SUM(Q4:Q5)</f>
        <v>0</v>
      </c>
      <c r="R6" s="94">
        <f t="shared" ref="R6" si="0">O6/N6</f>
        <v>0.5714285714285714</v>
      </c>
      <c r="V6" s="5">
        <f>IF($J6&gt;0,1,0)</f>
        <v>0</v>
      </c>
      <c r="W6" s="5">
        <f>IF($J6&lt;0,1,0)</f>
        <v>1</v>
      </c>
    </row>
    <row r="7" spans="1:23" ht="15" thickBot="1" x14ac:dyDescent="0.35">
      <c r="A7" s="6"/>
      <c r="B7" s="19">
        <v>2</v>
      </c>
      <c r="C7" s="20">
        <v>43721</v>
      </c>
      <c r="D7" s="21" t="s">
        <v>18</v>
      </c>
      <c r="E7" s="21" t="s">
        <v>99</v>
      </c>
      <c r="F7" s="37">
        <v>20</v>
      </c>
      <c r="G7" s="37">
        <v>63</v>
      </c>
      <c r="H7" s="37">
        <v>43</v>
      </c>
      <c r="I7" s="22">
        <v>75</v>
      </c>
      <c r="J7" s="23">
        <f t="shared" ref="J7:J32" si="1">H7*I7</f>
        <v>3225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43726</v>
      </c>
      <c r="D8" s="21" t="s">
        <v>18</v>
      </c>
      <c r="E8" s="21" t="s">
        <v>100</v>
      </c>
      <c r="F8" s="37">
        <v>10</v>
      </c>
      <c r="G8" s="37">
        <v>32</v>
      </c>
      <c r="H8" s="37">
        <v>22</v>
      </c>
      <c r="I8" s="22">
        <v>1200</v>
      </c>
      <c r="J8" s="23">
        <f t="shared" si="1"/>
        <v>26400</v>
      </c>
      <c r="K8" s="7"/>
      <c r="M8" s="67" t="s">
        <v>20</v>
      </c>
      <c r="N8" s="68"/>
      <c r="O8" s="69"/>
      <c r="P8" s="76">
        <f>R6</f>
        <v>0.5714285714285714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43727</v>
      </c>
      <c r="D9" s="21" t="s">
        <v>18</v>
      </c>
      <c r="E9" s="21" t="s">
        <v>101</v>
      </c>
      <c r="F9" s="37">
        <v>8</v>
      </c>
      <c r="G9" s="37">
        <v>1</v>
      </c>
      <c r="H9" s="37">
        <v>-7</v>
      </c>
      <c r="I9" s="22">
        <v>75</v>
      </c>
      <c r="J9" s="23">
        <f t="shared" si="1"/>
        <v>-525</v>
      </c>
      <c r="K9" s="7"/>
      <c r="M9" s="70"/>
      <c r="N9" s="71"/>
      <c r="O9" s="72"/>
      <c r="P9" s="79"/>
      <c r="Q9" s="80"/>
      <c r="R9" s="81"/>
      <c r="V9" s="5">
        <f t="shared" si="2"/>
        <v>0</v>
      </c>
      <c r="W9" s="5">
        <f t="shared" si="3"/>
        <v>1</v>
      </c>
    </row>
    <row r="10" spans="1:23" ht="15" thickBot="1" x14ac:dyDescent="0.35">
      <c r="A10" s="6"/>
      <c r="B10" s="19">
        <v>5</v>
      </c>
      <c r="C10" s="20">
        <v>43728</v>
      </c>
      <c r="D10" s="21" t="s">
        <v>18</v>
      </c>
      <c r="E10" s="21" t="s">
        <v>102</v>
      </c>
      <c r="F10" s="37">
        <v>40</v>
      </c>
      <c r="G10" s="37">
        <v>221</v>
      </c>
      <c r="H10" s="37">
        <v>181</v>
      </c>
      <c r="I10" s="22">
        <v>75</v>
      </c>
      <c r="J10" s="23">
        <f t="shared" si="1"/>
        <v>13575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43731</v>
      </c>
      <c r="D11" s="21" t="s">
        <v>18</v>
      </c>
      <c r="E11" s="21" t="s">
        <v>103</v>
      </c>
      <c r="F11" s="37">
        <v>55</v>
      </c>
      <c r="G11" s="37">
        <v>70</v>
      </c>
      <c r="H11" s="37">
        <v>15</v>
      </c>
      <c r="I11" s="22">
        <v>75</v>
      </c>
      <c r="J11" s="23">
        <f t="shared" si="1"/>
        <v>1125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43733</v>
      </c>
      <c r="D12" s="21" t="s">
        <v>18</v>
      </c>
      <c r="E12" s="21" t="s">
        <v>104</v>
      </c>
      <c r="F12" s="37">
        <v>12</v>
      </c>
      <c r="G12" s="37">
        <v>1</v>
      </c>
      <c r="H12" s="37">
        <v>-11</v>
      </c>
      <c r="I12" s="22">
        <v>500</v>
      </c>
      <c r="J12" s="23">
        <f t="shared" si="1"/>
        <v>-5500</v>
      </c>
      <c r="K12" s="7"/>
      <c r="V12" s="5">
        <f t="shared" si="2"/>
        <v>0</v>
      </c>
      <c r="W12" s="5">
        <f t="shared" si="3"/>
        <v>1</v>
      </c>
    </row>
    <row r="13" spans="1:23" x14ac:dyDescent="0.3">
      <c r="A13" s="6"/>
      <c r="B13" s="19">
        <v>8</v>
      </c>
      <c r="C13" s="20"/>
      <c r="D13" s="21"/>
      <c r="E13" s="21"/>
      <c r="F13" s="37"/>
      <c r="G13" s="37"/>
      <c r="H13" s="37"/>
      <c r="I13" s="22"/>
      <c r="J13" s="23">
        <f t="shared" si="1"/>
        <v>0</v>
      </c>
      <c r="K13" s="7"/>
      <c r="V13" s="5">
        <f t="shared" si="2"/>
        <v>0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35750</v>
      </c>
      <c r="K33" s="7"/>
      <c r="V33" s="5">
        <f>SUM(V6:V32)</f>
        <v>4</v>
      </c>
      <c r="W33" s="5">
        <f>SUM(W6:W32)</f>
        <v>3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3:H33"/>
    <mergeCell ref="M6:M7"/>
    <mergeCell ref="N6:N7"/>
    <mergeCell ref="O6:O7"/>
    <mergeCell ref="P6:P7"/>
    <mergeCell ref="Q6:Q7"/>
    <mergeCell ref="R6:R7"/>
  </mergeCells>
  <hyperlinks>
    <hyperlink ref="B33" r:id="rId1" xr:uid="{00000000-0004-0000-0A00-000000000000}"/>
    <hyperlink ref="M1" location="MASTER!A1" display="Back" xr:uid="{00000000-0004-0000-0A00-000001000000}"/>
  </hyperlinks>
  <pageMargins left="0" right="0" top="0" bottom="0" header="0" footer="0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34"/>
  <sheetViews>
    <sheetView workbookViewId="0">
      <selection activeCell="B33" sqref="B33:H33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43739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4</v>
      </c>
      <c r="O4" s="108">
        <f>V33</f>
        <v>2</v>
      </c>
      <c r="P4" s="108">
        <f>W33</f>
        <v>2</v>
      </c>
      <c r="Q4" s="110">
        <f>N4-O4-P4</f>
        <v>0</v>
      </c>
      <c r="R4" s="94">
        <f>O4/N4</f>
        <v>0.5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43752</v>
      </c>
      <c r="D6" s="16" t="s">
        <v>18</v>
      </c>
      <c r="E6" s="16" t="s">
        <v>105</v>
      </c>
      <c r="F6" s="51">
        <v>40</v>
      </c>
      <c r="G6" s="51">
        <v>52</v>
      </c>
      <c r="H6" s="51">
        <v>12</v>
      </c>
      <c r="I6" s="17">
        <v>75</v>
      </c>
      <c r="J6" s="18">
        <f>H6*I6</f>
        <v>900</v>
      </c>
      <c r="K6" s="7"/>
      <c r="M6" s="88" t="s">
        <v>19</v>
      </c>
      <c r="N6" s="90">
        <f>SUM(N4:N5)</f>
        <v>4</v>
      </c>
      <c r="O6" s="90">
        <f>SUM(O4:O5)</f>
        <v>2</v>
      </c>
      <c r="P6" s="90">
        <f>SUM(P4:P5)</f>
        <v>2</v>
      </c>
      <c r="Q6" s="92">
        <f>SUM(Q4:Q5)</f>
        <v>0</v>
      </c>
      <c r="R6" s="94">
        <f t="shared" ref="R6" si="0">O6/N6</f>
        <v>0.5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43754</v>
      </c>
      <c r="D7" s="21" t="s">
        <v>18</v>
      </c>
      <c r="E7" s="21" t="s">
        <v>106</v>
      </c>
      <c r="F7" s="37">
        <v>9</v>
      </c>
      <c r="G7" s="37">
        <v>12</v>
      </c>
      <c r="H7" s="37">
        <v>3</v>
      </c>
      <c r="I7" s="22">
        <v>1200</v>
      </c>
      <c r="J7" s="23">
        <f t="shared" ref="J7:J32" si="1">H7*I7</f>
        <v>3600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43755</v>
      </c>
      <c r="D8" s="21" t="s">
        <v>18</v>
      </c>
      <c r="E8" s="21" t="s">
        <v>107</v>
      </c>
      <c r="F8" s="37">
        <v>14</v>
      </c>
      <c r="G8" s="37">
        <v>6.8</v>
      </c>
      <c r="H8" s="37">
        <v>-7.2</v>
      </c>
      <c r="I8" s="22">
        <v>1200</v>
      </c>
      <c r="J8" s="23">
        <f t="shared" si="1"/>
        <v>-8640</v>
      </c>
      <c r="K8" s="7"/>
      <c r="M8" s="67" t="s">
        <v>20</v>
      </c>
      <c r="N8" s="68"/>
      <c r="O8" s="69"/>
      <c r="P8" s="76">
        <f>R6</f>
        <v>0.5</v>
      </c>
      <c r="Q8" s="77"/>
      <c r="R8" s="78"/>
      <c r="V8" s="5">
        <f t="shared" si="2"/>
        <v>0</v>
      </c>
      <c r="W8" s="5">
        <f t="shared" si="3"/>
        <v>1</v>
      </c>
    </row>
    <row r="9" spans="1:23" x14ac:dyDescent="0.3">
      <c r="A9" s="6"/>
      <c r="B9" s="19">
        <v>4</v>
      </c>
      <c r="C9" s="20">
        <v>43756</v>
      </c>
      <c r="D9" s="21" t="s">
        <v>18</v>
      </c>
      <c r="E9" s="21" t="s">
        <v>108</v>
      </c>
      <c r="F9" s="37">
        <v>18</v>
      </c>
      <c r="G9" s="37">
        <v>16</v>
      </c>
      <c r="H9" s="37">
        <v>-2</v>
      </c>
      <c r="I9" s="22">
        <v>500</v>
      </c>
      <c r="J9" s="23">
        <f t="shared" si="1"/>
        <v>-1000</v>
      </c>
      <c r="K9" s="7"/>
      <c r="M9" s="70"/>
      <c r="N9" s="71"/>
      <c r="O9" s="72"/>
      <c r="P9" s="79"/>
      <c r="Q9" s="80"/>
      <c r="R9" s="81"/>
      <c r="V9" s="5">
        <f t="shared" si="2"/>
        <v>0</v>
      </c>
      <c r="W9" s="5">
        <f t="shared" si="3"/>
        <v>1</v>
      </c>
    </row>
    <row r="10" spans="1:23" ht="15" thickBot="1" x14ac:dyDescent="0.35">
      <c r="A10" s="6"/>
      <c r="B10" s="19">
        <v>5</v>
      </c>
      <c r="C10" s="20"/>
      <c r="D10" s="21"/>
      <c r="E10" s="21"/>
      <c r="F10" s="37"/>
      <c r="G10" s="37"/>
      <c r="H10" s="37"/>
      <c r="I10" s="22"/>
      <c r="J10" s="23">
        <f t="shared" si="1"/>
        <v>0</v>
      </c>
      <c r="K10" s="7"/>
      <c r="M10" s="73"/>
      <c r="N10" s="74"/>
      <c r="O10" s="75"/>
      <c r="P10" s="82"/>
      <c r="Q10" s="83"/>
      <c r="R10" s="84"/>
      <c r="V10" s="5">
        <f t="shared" si="2"/>
        <v>0</v>
      </c>
      <c r="W10" s="5">
        <f t="shared" si="3"/>
        <v>0</v>
      </c>
    </row>
    <row r="11" spans="1:23" x14ac:dyDescent="0.3">
      <c r="A11" s="6"/>
      <c r="B11" s="19">
        <v>6</v>
      </c>
      <c r="C11" s="20"/>
      <c r="D11" s="21"/>
      <c r="E11" s="21"/>
      <c r="F11" s="37"/>
      <c r="G11" s="37"/>
      <c r="H11" s="37"/>
      <c r="I11" s="22"/>
      <c r="J11" s="23">
        <f t="shared" si="1"/>
        <v>0</v>
      </c>
      <c r="K11" s="7"/>
      <c r="V11" s="5">
        <f t="shared" si="2"/>
        <v>0</v>
      </c>
      <c r="W11" s="5">
        <f t="shared" si="3"/>
        <v>0</v>
      </c>
    </row>
    <row r="12" spans="1:23" x14ac:dyDescent="0.3">
      <c r="A12" s="6"/>
      <c r="B12" s="19">
        <v>7</v>
      </c>
      <c r="C12" s="20"/>
      <c r="D12" s="21"/>
      <c r="E12" s="21"/>
      <c r="F12" s="37"/>
      <c r="G12" s="37"/>
      <c r="H12" s="37"/>
      <c r="I12" s="22"/>
      <c r="J12" s="23">
        <f t="shared" si="1"/>
        <v>0</v>
      </c>
      <c r="K12" s="7"/>
      <c r="V12" s="5">
        <f t="shared" si="2"/>
        <v>0</v>
      </c>
      <c r="W12" s="5">
        <f t="shared" si="3"/>
        <v>0</v>
      </c>
    </row>
    <row r="13" spans="1:23" x14ac:dyDescent="0.3">
      <c r="A13" s="6"/>
      <c r="B13" s="19">
        <v>8</v>
      </c>
      <c r="C13" s="20"/>
      <c r="D13" s="21"/>
      <c r="E13" s="21"/>
      <c r="F13" s="37"/>
      <c r="G13" s="37"/>
      <c r="H13" s="37"/>
      <c r="I13" s="22"/>
      <c r="J13" s="23">
        <f t="shared" si="1"/>
        <v>0</v>
      </c>
      <c r="K13" s="7"/>
      <c r="V13" s="5">
        <f t="shared" si="2"/>
        <v>0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-5140</v>
      </c>
      <c r="K33" s="7"/>
      <c r="V33" s="5">
        <f>SUM(V6:V32)</f>
        <v>2</v>
      </c>
      <c r="W33" s="5">
        <f>SUM(W6:W32)</f>
        <v>2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00000000-0004-0000-0B00-000000000000}"/>
    <hyperlink ref="M1" location="MASTER!A1" display="Back" xr:uid="{00000000-0004-0000-0B00-000001000000}"/>
  </hyperlinks>
  <pageMargins left="0" right="0" top="0" bottom="0" header="0" footer="0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34"/>
  <sheetViews>
    <sheetView workbookViewId="0"/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43770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7</v>
      </c>
      <c r="O4" s="108">
        <f>V33</f>
        <v>6</v>
      </c>
      <c r="P4" s="108">
        <f>W33</f>
        <v>1</v>
      </c>
      <c r="Q4" s="110">
        <f>N4-O4-P4</f>
        <v>0</v>
      </c>
      <c r="R4" s="94">
        <f>O4/N4</f>
        <v>0.8571428571428571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43774</v>
      </c>
      <c r="D6" s="16" t="s">
        <v>18</v>
      </c>
      <c r="E6" s="16" t="s">
        <v>109</v>
      </c>
      <c r="F6" s="51">
        <v>18</v>
      </c>
      <c r="G6" s="51">
        <v>50</v>
      </c>
      <c r="H6" s="51">
        <v>32</v>
      </c>
      <c r="I6" s="17">
        <v>75</v>
      </c>
      <c r="J6" s="18">
        <f>H6*I6</f>
        <v>2400</v>
      </c>
      <c r="K6" s="7"/>
      <c r="M6" s="88" t="s">
        <v>19</v>
      </c>
      <c r="N6" s="90">
        <f>SUM(N4:N5)</f>
        <v>7</v>
      </c>
      <c r="O6" s="90">
        <f>SUM(O4:O5)</f>
        <v>6</v>
      </c>
      <c r="P6" s="90">
        <f>SUM(P4:P5)</f>
        <v>1</v>
      </c>
      <c r="Q6" s="92">
        <f>SUM(Q4:Q5)</f>
        <v>0</v>
      </c>
      <c r="R6" s="94">
        <f t="shared" ref="R6" si="0">O6/N6</f>
        <v>0.8571428571428571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43775</v>
      </c>
      <c r="D7" s="21" t="s">
        <v>18</v>
      </c>
      <c r="E7" s="21" t="s">
        <v>110</v>
      </c>
      <c r="F7" s="37">
        <v>115</v>
      </c>
      <c r="G7" s="37">
        <v>150</v>
      </c>
      <c r="H7" s="37">
        <v>35</v>
      </c>
      <c r="I7" s="22">
        <v>250</v>
      </c>
      <c r="J7" s="23">
        <f t="shared" ref="J7:J32" si="1">H7*I7</f>
        <v>8750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43783</v>
      </c>
      <c r="D8" s="21" t="s">
        <v>18</v>
      </c>
      <c r="E8" s="21" t="s">
        <v>90</v>
      </c>
      <c r="F8" s="37">
        <v>20</v>
      </c>
      <c r="G8" s="37">
        <v>50</v>
      </c>
      <c r="H8" s="37">
        <v>30</v>
      </c>
      <c r="I8" s="22">
        <v>20</v>
      </c>
      <c r="J8" s="23">
        <f t="shared" si="1"/>
        <v>600</v>
      </c>
      <c r="K8" s="7"/>
      <c r="M8" s="67" t="s">
        <v>20</v>
      </c>
      <c r="N8" s="68"/>
      <c r="O8" s="69"/>
      <c r="P8" s="76">
        <f>R6</f>
        <v>0.8571428571428571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43787</v>
      </c>
      <c r="D9" s="21" t="s">
        <v>18</v>
      </c>
      <c r="E9" s="21" t="s">
        <v>111</v>
      </c>
      <c r="F9" s="37">
        <v>13</v>
      </c>
      <c r="G9" s="37">
        <v>24</v>
      </c>
      <c r="H9" s="37">
        <v>11</v>
      </c>
      <c r="I9" s="22">
        <v>1000</v>
      </c>
      <c r="J9" s="23">
        <f t="shared" si="1"/>
        <v>11000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43790</v>
      </c>
      <c r="D10" s="21" t="s">
        <v>18</v>
      </c>
      <c r="E10" s="21" t="s">
        <v>112</v>
      </c>
      <c r="F10" s="37">
        <v>5</v>
      </c>
      <c r="G10" s="37">
        <v>0</v>
      </c>
      <c r="H10" s="37">
        <v>-5</v>
      </c>
      <c r="I10" s="22">
        <v>75</v>
      </c>
      <c r="J10" s="23">
        <f t="shared" si="1"/>
        <v>-375</v>
      </c>
      <c r="K10" s="7"/>
      <c r="M10" s="73"/>
      <c r="N10" s="74"/>
      <c r="O10" s="75"/>
      <c r="P10" s="82"/>
      <c r="Q10" s="83"/>
      <c r="R10" s="84"/>
      <c r="V10" s="5">
        <f t="shared" si="2"/>
        <v>0</v>
      </c>
      <c r="W10" s="5">
        <f t="shared" si="3"/>
        <v>1</v>
      </c>
    </row>
    <row r="11" spans="1:23" x14ac:dyDescent="0.3">
      <c r="A11" s="6"/>
      <c r="B11" s="19">
        <v>6</v>
      </c>
      <c r="C11" s="20">
        <v>43791</v>
      </c>
      <c r="D11" s="21" t="s">
        <v>18</v>
      </c>
      <c r="E11" s="21" t="s">
        <v>113</v>
      </c>
      <c r="F11" s="37">
        <v>50</v>
      </c>
      <c r="G11" s="37">
        <v>169</v>
      </c>
      <c r="H11" s="37">
        <v>119</v>
      </c>
      <c r="I11" s="22">
        <v>75</v>
      </c>
      <c r="J11" s="23">
        <f t="shared" si="1"/>
        <v>8925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43797</v>
      </c>
      <c r="D12" s="21" t="s">
        <v>18</v>
      </c>
      <c r="E12" s="21" t="s">
        <v>114</v>
      </c>
      <c r="F12" s="37">
        <v>10</v>
      </c>
      <c r="G12" s="37">
        <v>24.65</v>
      </c>
      <c r="H12" s="37">
        <v>14.65</v>
      </c>
      <c r="I12" s="22">
        <v>250</v>
      </c>
      <c r="J12" s="23">
        <f t="shared" si="1"/>
        <v>3662.5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/>
      <c r="D13" s="21"/>
      <c r="E13" s="21"/>
      <c r="F13" s="37"/>
      <c r="G13" s="37"/>
      <c r="H13" s="37"/>
      <c r="I13" s="22"/>
      <c r="J13" s="23">
        <f t="shared" si="1"/>
        <v>0</v>
      </c>
      <c r="K13" s="7"/>
      <c r="V13" s="5">
        <f t="shared" si="2"/>
        <v>0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34962.5</v>
      </c>
      <c r="K33" s="7"/>
      <c r="V33" s="5">
        <f>SUM(V6:V32)</f>
        <v>6</v>
      </c>
      <c r="W33" s="5">
        <f>SUM(W6:W32)</f>
        <v>1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00000000-0004-0000-0C00-000000000000}"/>
    <hyperlink ref="M1" location="MASTER!A1" display="Back" xr:uid="{00000000-0004-0000-0C00-000001000000}"/>
  </hyperlinks>
  <pageMargins left="0" right="0" top="0" bottom="0" header="0" footer="0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34"/>
  <sheetViews>
    <sheetView workbookViewId="0"/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43800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5</v>
      </c>
      <c r="O4" s="108">
        <f>V33</f>
        <v>4</v>
      </c>
      <c r="P4" s="108">
        <f>W33</f>
        <v>1</v>
      </c>
      <c r="Q4" s="110">
        <f>N4-O4-P4</f>
        <v>0</v>
      </c>
      <c r="R4" s="94">
        <f>O4/N4</f>
        <v>0.8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43803</v>
      </c>
      <c r="D6" s="16" t="s">
        <v>18</v>
      </c>
      <c r="E6" s="16" t="s">
        <v>115</v>
      </c>
      <c r="F6" s="51">
        <v>30</v>
      </c>
      <c r="G6" s="51">
        <v>40</v>
      </c>
      <c r="H6" s="51">
        <v>10</v>
      </c>
      <c r="I6" s="17">
        <v>375</v>
      </c>
      <c r="J6" s="18">
        <f>H6*I6</f>
        <v>3750</v>
      </c>
      <c r="K6" s="7"/>
      <c r="M6" s="88" t="s">
        <v>19</v>
      </c>
      <c r="N6" s="90">
        <f>SUM(N4:N5)</f>
        <v>5</v>
      </c>
      <c r="O6" s="90">
        <f>SUM(O4:O5)</f>
        <v>4</v>
      </c>
      <c r="P6" s="90">
        <f>SUM(P4:P5)</f>
        <v>1</v>
      </c>
      <c r="Q6" s="92">
        <f>SUM(Q4:Q5)</f>
        <v>0</v>
      </c>
      <c r="R6" s="94">
        <f t="shared" ref="R6" si="0">O6/N6</f>
        <v>0.8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43805</v>
      </c>
      <c r="D7" s="21" t="s">
        <v>18</v>
      </c>
      <c r="E7" s="21" t="s">
        <v>116</v>
      </c>
      <c r="F7" s="37">
        <v>11</v>
      </c>
      <c r="G7" s="37">
        <v>15</v>
      </c>
      <c r="H7" s="37">
        <v>5</v>
      </c>
      <c r="I7" s="22">
        <v>1375</v>
      </c>
      <c r="J7" s="23">
        <f t="shared" ref="J7:J32" si="1">H7*I7</f>
        <v>6875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43812</v>
      </c>
      <c r="D8" s="21" t="s">
        <v>18</v>
      </c>
      <c r="E8" s="21" t="s">
        <v>117</v>
      </c>
      <c r="F8" s="37">
        <v>65</v>
      </c>
      <c r="G8" s="37">
        <v>115</v>
      </c>
      <c r="H8" s="37">
        <v>50</v>
      </c>
      <c r="I8" s="22">
        <v>200</v>
      </c>
      <c r="J8" s="23">
        <f t="shared" si="1"/>
        <v>10000</v>
      </c>
      <c r="K8" s="7"/>
      <c r="M8" s="67" t="s">
        <v>20</v>
      </c>
      <c r="N8" s="68"/>
      <c r="O8" s="69"/>
      <c r="P8" s="76">
        <f>R6</f>
        <v>0.8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43816</v>
      </c>
      <c r="D9" s="21" t="s">
        <v>18</v>
      </c>
      <c r="E9" s="21" t="s">
        <v>118</v>
      </c>
      <c r="F9" s="37">
        <v>45</v>
      </c>
      <c r="G9" s="37">
        <v>10</v>
      </c>
      <c r="H9" s="37">
        <v>-35</v>
      </c>
      <c r="I9" s="22">
        <v>75</v>
      </c>
      <c r="J9" s="23">
        <f t="shared" si="1"/>
        <v>-2625</v>
      </c>
      <c r="K9" s="7"/>
      <c r="M9" s="70"/>
      <c r="N9" s="71"/>
      <c r="O9" s="72"/>
      <c r="P9" s="79"/>
      <c r="Q9" s="80"/>
      <c r="R9" s="81"/>
      <c r="V9" s="5">
        <f t="shared" si="2"/>
        <v>0</v>
      </c>
      <c r="W9" s="5">
        <f t="shared" si="3"/>
        <v>1</v>
      </c>
    </row>
    <row r="10" spans="1:23" ht="15" thickBot="1" x14ac:dyDescent="0.35">
      <c r="A10" s="6"/>
      <c r="B10" s="19">
        <v>5</v>
      </c>
      <c r="C10" s="20">
        <v>43817</v>
      </c>
      <c r="D10" s="21" t="s">
        <v>18</v>
      </c>
      <c r="E10" s="21" t="s">
        <v>119</v>
      </c>
      <c r="F10" s="37">
        <v>33</v>
      </c>
      <c r="G10" s="37">
        <v>41.5</v>
      </c>
      <c r="H10" s="37">
        <v>8.5</v>
      </c>
      <c r="I10" s="22">
        <v>250</v>
      </c>
      <c r="J10" s="23">
        <f t="shared" si="1"/>
        <v>2125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/>
      <c r="D11" s="21"/>
      <c r="E11" s="21"/>
      <c r="F11" s="37"/>
      <c r="G11" s="37"/>
      <c r="H11" s="37"/>
      <c r="I11" s="22"/>
      <c r="J11" s="23">
        <f t="shared" si="1"/>
        <v>0</v>
      </c>
      <c r="K11" s="7"/>
      <c r="V11" s="5">
        <f t="shared" si="2"/>
        <v>0</v>
      </c>
      <c r="W11" s="5">
        <f t="shared" si="3"/>
        <v>0</v>
      </c>
    </row>
    <row r="12" spans="1:23" x14ac:dyDescent="0.3">
      <c r="A12" s="6"/>
      <c r="B12" s="19">
        <v>7</v>
      </c>
      <c r="C12" s="20"/>
      <c r="D12" s="21"/>
      <c r="E12" s="21"/>
      <c r="F12" s="37"/>
      <c r="G12" s="37"/>
      <c r="H12" s="37"/>
      <c r="I12" s="22"/>
      <c r="J12" s="23">
        <f t="shared" si="1"/>
        <v>0</v>
      </c>
      <c r="K12" s="7"/>
      <c r="V12" s="5">
        <f t="shared" si="2"/>
        <v>0</v>
      </c>
      <c r="W12" s="5">
        <f t="shared" si="3"/>
        <v>0</v>
      </c>
    </row>
    <row r="13" spans="1:23" x14ac:dyDescent="0.3">
      <c r="A13" s="6"/>
      <c r="B13" s="19">
        <v>8</v>
      </c>
      <c r="C13" s="20"/>
      <c r="D13" s="21"/>
      <c r="E13" s="21"/>
      <c r="F13" s="37"/>
      <c r="G13" s="37"/>
      <c r="H13" s="37"/>
      <c r="I13" s="22"/>
      <c r="J13" s="23">
        <f t="shared" si="1"/>
        <v>0</v>
      </c>
      <c r="K13" s="7"/>
      <c r="V13" s="5">
        <f t="shared" si="2"/>
        <v>0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20125</v>
      </c>
      <c r="K33" s="7"/>
      <c r="V33" s="5">
        <f>SUM(V6:V32)</f>
        <v>4</v>
      </c>
      <c r="W33" s="5">
        <f>SUM(W6:W32)</f>
        <v>1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00000000-0004-0000-0D00-000000000000}"/>
    <hyperlink ref="M1" location="MASTER!A1" display="Back" xr:uid="{00000000-0004-0000-0D00-000001000000}"/>
  </hyperlinks>
  <pageMargins left="0" right="0" top="0" bottom="0" header="0" footer="0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34"/>
  <sheetViews>
    <sheetView workbookViewId="0"/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43831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6</v>
      </c>
      <c r="O4" s="108">
        <f>V33</f>
        <v>6</v>
      </c>
      <c r="P4" s="108">
        <f>W33</f>
        <v>0</v>
      </c>
      <c r="Q4" s="110">
        <f>N4-O4-P4</f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43831</v>
      </c>
      <c r="D6" s="16" t="s">
        <v>18</v>
      </c>
      <c r="E6" s="16" t="s">
        <v>120</v>
      </c>
      <c r="F6" s="51">
        <v>57</v>
      </c>
      <c r="G6" s="51">
        <v>86.6</v>
      </c>
      <c r="H6" s="51">
        <v>29.6</v>
      </c>
      <c r="I6" s="17">
        <v>250</v>
      </c>
      <c r="J6" s="18">
        <f>H6*I6</f>
        <v>7400</v>
      </c>
      <c r="K6" s="7"/>
      <c r="M6" s="88" t="s">
        <v>19</v>
      </c>
      <c r="N6" s="90">
        <f>SUM(N4:N5)</f>
        <v>6</v>
      </c>
      <c r="O6" s="90">
        <f>SUM(O4:O5)</f>
        <v>6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43839</v>
      </c>
      <c r="D7" s="21" t="s">
        <v>18</v>
      </c>
      <c r="E7" s="21" t="s">
        <v>121</v>
      </c>
      <c r="F7" s="37">
        <v>10</v>
      </c>
      <c r="G7" s="37">
        <v>16</v>
      </c>
      <c r="H7" s="37">
        <v>6</v>
      </c>
      <c r="I7" s="22">
        <v>75</v>
      </c>
      <c r="J7" s="23">
        <f t="shared" ref="J7:J32" si="1">H7*I7</f>
        <v>450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43839</v>
      </c>
      <c r="D8" s="21" t="s">
        <v>18</v>
      </c>
      <c r="E8" s="21" t="s">
        <v>122</v>
      </c>
      <c r="F8" s="37">
        <v>6</v>
      </c>
      <c r="G8" s="37">
        <v>8.9</v>
      </c>
      <c r="H8" s="37">
        <v>2.9</v>
      </c>
      <c r="I8" s="22">
        <v>2600</v>
      </c>
      <c r="J8" s="23">
        <f t="shared" si="1"/>
        <v>7540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43846</v>
      </c>
      <c r="D9" s="21" t="s">
        <v>18</v>
      </c>
      <c r="E9" s="21" t="s">
        <v>123</v>
      </c>
      <c r="F9" s="37">
        <v>26</v>
      </c>
      <c r="G9" s="37">
        <v>55.8</v>
      </c>
      <c r="H9" s="37">
        <v>29.8</v>
      </c>
      <c r="I9" s="22">
        <v>500</v>
      </c>
      <c r="J9" s="23">
        <f t="shared" si="1"/>
        <v>14900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43853</v>
      </c>
      <c r="D10" s="21" t="s">
        <v>18</v>
      </c>
      <c r="E10" s="21" t="s">
        <v>124</v>
      </c>
      <c r="F10" s="37">
        <v>110</v>
      </c>
      <c r="G10" s="37">
        <v>136</v>
      </c>
      <c r="H10" s="37">
        <v>26</v>
      </c>
      <c r="I10" s="22">
        <v>100</v>
      </c>
      <c r="J10" s="23">
        <f t="shared" si="1"/>
        <v>2600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43854</v>
      </c>
      <c r="D11" s="21" t="s">
        <v>18</v>
      </c>
      <c r="E11" s="21" t="s">
        <v>125</v>
      </c>
      <c r="F11" s="37">
        <v>4</v>
      </c>
      <c r="G11" s="37">
        <v>16.3</v>
      </c>
      <c r="H11" s="37">
        <v>12.3</v>
      </c>
      <c r="I11" s="22">
        <v>2600</v>
      </c>
      <c r="J11" s="23">
        <f t="shared" si="1"/>
        <v>31980.000000000004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/>
      <c r="D12" s="21"/>
      <c r="E12" s="21"/>
      <c r="F12" s="37"/>
      <c r="G12" s="37"/>
      <c r="H12" s="37"/>
      <c r="I12" s="22"/>
      <c r="J12" s="23">
        <f t="shared" si="1"/>
        <v>0</v>
      </c>
      <c r="K12" s="7"/>
      <c r="V12" s="5">
        <f t="shared" si="2"/>
        <v>0</v>
      </c>
      <c r="W12" s="5">
        <f t="shared" si="3"/>
        <v>0</v>
      </c>
    </row>
    <row r="13" spans="1:23" x14ac:dyDescent="0.3">
      <c r="A13" s="6"/>
      <c r="B13" s="19">
        <v>8</v>
      </c>
      <c r="C13" s="20"/>
      <c r="D13" s="21"/>
      <c r="E13" s="21"/>
      <c r="F13" s="37"/>
      <c r="G13" s="37"/>
      <c r="H13" s="37"/>
      <c r="I13" s="22"/>
      <c r="J13" s="23">
        <f t="shared" si="1"/>
        <v>0</v>
      </c>
      <c r="K13" s="7"/>
      <c r="V13" s="5">
        <f t="shared" si="2"/>
        <v>0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64870</v>
      </c>
      <c r="K33" s="7"/>
      <c r="V33" s="5">
        <f>SUM(V6:V32)</f>
        <v>6</v>
      </c>
      <c r="W33" s="5">
        <f>SUM(W6:W32)</f>
        <v>0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00000000-0004-0000-0E00-000000000000}"/>
    <hyperlink ref="M1" location="MASTER!A1" display="Back" xr:uid="{00000000-0004-0000-0E00-000001000000}"/>
  </hyperlinks>
  <pageMargins left="0" right="0" top="0" bottom="0" header="0" footer="0"/>
  <pageSetup paperSize="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34"/>
  <sheetViews>
    <sheetView workbookViewId="0"/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43862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3</v>
      </c>
      <c r="O4" s="108">
        <f>V33</f>
        <v>3</v>
      </c>
      <c r="P4" s="108">
        <f>W33</f>
        <v>0</v>
      </c>
      <c r="Q4" s="110">
        <f>N4-O4-P4</f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43872</v>
      </c>
      <c r="D6" s="16" t="s">
        <v>18</v>
      </c>
      <c r="E6" s="16" t="s">
        <v>126</v>
      </c>
      <c r="F6" s="51">
        <v>11</v>
      </c>
      <c r="G6" s="51">
        <v>16.8</v>
      </c>
      <c r="H6" s="51">
        <v>5.8</v>
      </c>
      <c r="I6" s="17">
        <v>1200</v>
      </c>
      <c r="J6" s="18">
        <f>H6*I6</f>
        <v>6960</v>
      </c>
      <c r="K6" s="7"/>
      <c r="M6" s="88" t="s">
        <v>19</v>
      </c>
      <c r="N6" s="90">
        <f>SUM(N4:N5)</f>
        <v>3</v>
      </c>
      <c r="O6" s="90">
        <f>SUM(O4:O5)</f>
        <v>3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43879</v>
      </c>
      <c r="D7" s="21" t="s">
        <v>18</v>
      </c>
      <c r="E7" s="21" t="s">
        <v>127</v>
      </c>
      <c r="F7" s="37">
        <v>1.9</v>
      </c>
      <c r="G7" s="37">
        <v>4.05</v>
      </c>
      <c r="H7" s="37">
        <v>2.15</v>
      </c>
      <c r="I7" s="22">
        <v>4100</v>
      </c>
      <c r="J7" s="23">
        <f t="shared" ref="J7:J32" si="1">H7*I7</f>
        <v>8815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43881</v>
      </c>
      <c r="D8" s="21" t="s">
        <v>18</v>
      </c>
      <c r="E8" s="21" t="s">
        <v>128</v>
      </c>
      <c r="F8" s="37">
        <v>2</v>
      </c>
      <c r="G8" s="37">
        <v>14.7</v>
      </c>
      <c r="H8" s="37">
        <v>12.7</v>
      </c>
      <c r="I8" s="22">
        <v>2600</v>
      </c>
      <c r="J8" s="23">
        <f t="shared" si="1"/>
        <v>33020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/>
      <c r="D9" s="21"/>
      <c r="E9" s="21"/>
      <c r="F9" s="37"/>
      <c r="G9" s="37"/>
      <c r="H9" s="37"/>
      <c r="I9" s="22"/>
      <c r="J9" s="23">
        <f t="shared" si="1"/>
        <v>0</v>
      </c>
      <c r="K9" s="7"/>
      <c r="M9" s="70"/>
      <c r="N9" s="71"/>
      <c r="O9" s="72"/>
      <c r="P9" s="79"/>
      <c r="Q9" s="80"/>
      <c r="R9" s="81"/>
      <c r="V9" s="5">
        <f t="shared" si="2"/>
        <v>0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/>
      <c r="D10" s="21"/>
      <c r="E10" s="21"/>
      <c r="F10" s="37"/>
      <c r="G10" s="37"/>
      <c r="H10" s="37"/>
      <c r="I10" s="22"/>
      <c r="J10" s="23">
        <f t="shared" si="1"/>
        <v>0</v>
      </c>
      <c r="K10" s="7"/>
      <c r="M10" s="73"/>
      <c r="N10" s="74"/>
      <c r="O10" s="75"/>
      <c r="P10" s="82"/>
      <c r="Q10" s="83"/>
      <c r="R10" s="84"/>
      <c r="V10" s="5">
        <f t="shared" si="2"/>
        <v>0</v>
      </c>
      <c r="W10" s="5">
        <f t="shared" si="3"/>
        <v>0</v>
      </c>
    </row>
    <row r="11" spans="1:23" x14ac:dyDescent="0.3">
      <c r="A11" s="6"/>
      <c r="B11" s="19">
        <v>6</v>
      </c>
      <c r="C11" s="20"/>
      <c r="D11" s="21"/>
      <c r="E11" s="21"/>
      <c r="F11" s="37"/>
      <c r="G11" s="37"/>
      <c r="H11" s="37"/>
      <c r="I11" s="22"/>
      <c r="J11" s="23">
        <f t="shared" si="1"/>
        <v>0</v>
      </c>
      <c r="K11" s="7"/>
      <c r="V11" s="5">
        <f t="shared" si="2"/>
        <v>0</v>
      </c>
      <c r="W11" s="5">
        <f t="shared" si="3"/>
        <v>0</v>
      </c>
    </row>
    <row r="12" spans="1:23" x14ac:dyDescent="0.3">
      <c r="A12" s="6"/>
      <c r="B12" s="19">
        <v>7</v>
      </c>
      <c r="C12" s="20"/>
      <c r="D12" s="21"/>
      <c r="E12" s="21"/>
      <c r="F12" s="37"/>
      <c r="G12" s="37"/>
      <c r="H12" s="37"/>
      <c r="I12" s="22"/>
      <c r="J12" s="23">
        <f t="shared" si="1"/>
        <v>0</v>
      </c>
      <c r="K12" s="7"/>
      <c r="V12" s="5">
        <f t="shared" si="2"/>
        <v>0</v>
      </c>
      <c r="W12" s="5">
        <f t="shared" si="3"/>
        <v>0</v>
      </c>
    </row>
    <row r="13" spans="1:23" x14ac:dyDescent="0.3">
      <c r="A13" s="6"/>
      <c r="B13" s="19">
        <v>8</v>
      </c>
      <c r="C13" s="20"/>
      <c r="D13" s="21"/>
      <c r="E13" s="21"/>
      <c r="F13" s="37"/>
      <c r="G13" s="37"/>
      <c r="H13" s="37"/>
      <c r="I13" s="22"/>
      <c r="J13" s="23">
        <f t="shared" si="1"/>
        <v>0</v>
      </c>
      <c r="K13" s="7"/>
      <c r="V13" s="5">
        <f t="shared" si="2"/>
        <v>0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48795</v>
      </c>
      <c r="K33" s="7"/>
      <c r="V33" s="5">
        <f>SUM(V6:V32)</f>
        <v>3</v>
      </c>
      <c r="W33" s="5">
        <f>SUM(W6:W32)</f>
        <v>0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3:H33"/>
    <mergeCell ref="M6:M7"/>
    <mergeCell ref="N6:N7"/>
    <mergeCell ref="O6:O7"/>
    <mergeCell ref="P6:P7"/>
    <mergeCell ref="Q6:Q7"/>
    <mergeCell ref="R6:R7"/>
  </mergeCells>
  <hyperlinks>
    <hyperlink ref="B33" r:id="rId1" xr:uid="{00000000-0004-0000-0F00-000000000000}"/>
    <hyperlink ref="M1" location="MASTER!A1" display="Back" xr:uid="{00000000-0004-0000-0F00-000001000000}"/>
  </hyperlinks>
  <pageMargins left="0" right="0" top="0" bottom="0" header="0" footer="0"/>
  <pageSetup paperSize="9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34"/>
  <sheetViews>
    <sheetView workbookViewId="0">
      <selection activeCell="L30" sqref="L30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43891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5</v>
      </c>
      <c r="O4" s="108">
        <f>V33</f>
        <v>5</v>
      </c>
      <c r="P4" s="108">
        <f>W33</f>
        <v>0</v>
      </c>
      <c r="Q4" s="110">
        <f>N4-O4-P4</f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43895</v>
      </c>
      <c r="D6" s="16" t="s">
        <v>18</v>
      </c>
      <c r="E6" s="16" t="s">
        <v>129</v>
      </c>
      <c r="F6" s="51">
        <v>7</v>
      </c>
      <c r="G6" s="51">
        <v>35.65</v>
      </c>
      <c r="H6" s="51">
        <v>28.65</v>
      </c>
      <c r="I6" s="17">
        <v>2600</v>
      </c>
      <c r="J6" s="18">
        <f>H6*I6</f>
        <v>74490</v>
      </c>
      <c r="K6" s="7"/>
      <c r="M6" s="88" t="s">
        <v>19</v>
      </c>
      <c r="N6" s="90">
        <f>SUM(N4:N5)</f>
        <v>5</v>
      </c>
      <c r="O6" s="90">
        <f>SUM(O4:O5)</f>
        <v>5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43902</v>
      </c>
      <c r="D7" s="21" t="s">
        <v>18</v>
      </c>
      <c r="E7" s="21" t="s">
        <v>130</v>
      </c>
      <c r="F7" s="37">
        <v>6</v>
      </c>
      <c r="G7" s="37">
        <v>20</v>
      </c>
      <c r="H7" s="37">
        <v>14</v>
      </c>
      <c r="I7" s="22">
        <v>2600</v>
      </c>
      <c r="J7" s="23">
        <f t="shared" ref="J7:J32" si="1">H7*I7</f>
        <v>36400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43907</v>
      </c>
      <c r="D8" s="21" t="s">
        <v>18</v>
      </c>
      <c r="E8" s="21" t="s">
        <v>131</v>
      </c>
      <c r="F8" s="37">
        <v>63</v>
      </c>
      <c r="G8" s="37">
        <v>149</v>
      </c>
      <c r="H8" s="37">
        <v>86</v>
      </c>
      <c r="I8" s="22">
        <v>500</v>
      </c>
      <c r="J8" s="23">
        <f t="shared" si="1"/>
        <v>43000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43909</v>
      </c>
      <c r="D9" s="21" t="s">
        <v>18</v>
      </c>
      <c r="E9" s="21" t="s">
        <v>130</v>
      </c>
      <c r="F9" s="37">
        <v>6.5</v>
      </c>
      <c r="G9" s="37">
        <v>22.5</v>
      </c>
      <c r="H9" s="37">
        <v>16</v>
      </c>
      <c r="I9" s="22">
        <v>2600</v>
      </c>
      <c r="J9" s="23">
        <f t="shared" si="1"/>
        <v>41600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43921</v>
      </c>
      <c r="D10" s="21" t="s">
        <v>18</v>
      </c>
      <c r="E10" s="21" t="s">
        <v>132</v>
      </c>
      <c r="F10" s="37">
        <v>85</v>
      </c>
      <c r="G10" s="37">
        <v>97</v>
      </c>
      <c r="H10" s="37">
        <v>12</v>
      </c>
      <c r="I10" s="22">
        <v>500</v>
      </c>
      <c r="J10" s="23">
        <f t="shared" si="1"/>
        <v>6000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/>
      <c r="D11" s="21"/>
      <c r="E11" s="21"/>
      <c r="F11" s="37"/>
      <c r="G11" s="37"/>
      <c r="H11" s="37"/>
      <c r="I11" s="22"/>
      <c r="J11" s="23">
        <f t="shared" si="1"/>
        <v>0</v>
      </c>
      <c r="K11" s="7"/>
      <c r="V11" s="5">
        <f t="shared" si="2"/>
        <v>0</v>
      </c>
      <c r="W11" s="5">
        <f t="shared" si="3"/>
        <v>0</v>
      </c>
    </row>
    <row r="12" spans="1:23" x14ac:dyDescent="0.3">
      <c r="A12" s="6"/>
      <c r="B12" s="19">
        <v>7</v>
      </c>
      <c r="C12" s="20"/>
      <c r="D12" s="21"/>
      <c r="E12" s="21"/>
      <c r="F12" s="37"/>
      <c r="G12" s="37"/>
      <c r="H12" s="37"/>
      <c r="I12" s="22"/>
      <c r="J12" s="23">
        <f t="shared" si="1"/>
        <v>0</v>
      </c>
      <c r="K12" s="7"/>
      <c r="V12" s="5">
        <f t="shared" si="2"/>
        <v>0</v>
      </c>
      <c r="W12" s="5">
        <f t="shared" si="3"/>
        <v>0</v>
      </c>
    </row>
    <row r="13" spans="1:23" x14ac:dyDescent="0.3">
      <c r="A13" s="6"/>
      <c r="B13" s="19">
        <v>8</v>
      </c>
      <c r="C13" s="20"/>
      <c r="D13" s="21"/>
      <c r="E13" s="21"/>
      <c r="F13" s="37"/>
      <c r="G13" s="37"/>
      <c r="H13" s="37"/>
      <c r="I13" s="22"/>
      <c r="J13" s="23">
        <f t="shared" si="1"/>
        <v>0</v>
      </c>
      <c r="K13" s="7"/>
      <c r="V13" s="5">
        <f t="shared" si="2"/>
        <v>0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201490</v>
      </c>
      <c r="K33" s="7"/>
      <c r="V33" s="5">
        <f>SUM(V6:V32)</f>
        <v>5</v>
      </c>
      <c r="W33" s="5">
        <f>SUM(W6:W32)</f>
        <v>0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3:H33"/>
    <mergeCell ref="M6:M7"/>
    <mergeCell ref="N6:N7"/>
    <mergeCell ref="O6:O7"/>
    <mergeCell ref="P6:P7"/>
    <mergeCell ref="Q6:Q7"/>
    <mergeCell ref="R6:R7"/>
  </mergeCells>
  <hyperlinks>
    <hyperlink ref="B33" r:id="rId1" xr:uid="{00000000-0004-0000-1000-000000000000}"/>
    <hyperlink ref="M1" location="MASTER!A1" display="Back" xr:uid="{00000000-0004-0000-1000-000001000000}"/>
  </hyperlinks>
  <pageMargins left="0" right="0" top="0" bottom="0" header="0" footer="0"/>
  <pageSetup paperSize="9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W34"/>
  <sheetViews>
    <sheetView workbookViewId="0">
      <selection activeCell="M1" sqref="M1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43922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5</v>
      </c>
      <c r="O4" s="108">
        <f>V33</f>
        <v>5</v>
      </c>
      <c r="P4" s="108">
        <f>W33</f>
        <v>0</v>
      </c>
      <c r="Q4" s="110">
        <f>N4-O4-P4</f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43929</v>
      </c>
      <c r="D6" s="16" t="s">
        <v>18</v>
      </c>
      <c r="E6" s="16" t="s">
        <v>133</v>
      </c>
      <c r="F6" s="51">
        <v>33</v>
      </c>
      <c r="G6" s="51">
        <v>39</v>
      </c>
      <c r="H6" s="51">
        <v>6</v>
      </c>
      <c r="I6" s="17">
        <v>1200</v>
      </c>
      <c r="J6" s="18">
        <f>H6*I6</f>
        <v>7200</v>
      </c>
      <c r="K6" s="7"/>
      <c r="M6" s="88" t="s">
        <v>19</v>
      </c>
      <c r="N6" s="90">
        <f>SUM(N4:N5)</f>
        <v>5</v>
      </c>
      <c r="O6" s="90">
        <f>SUM(O4:O5)</f>
        <v>5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43937</v>
      </c>
      <c r="D7" s="21" t="s">
        <v>18</v>
      </c>
      <c r="E7" s="21" t="s">
        <v>41</v>
      </c>
      <c r="F7" s="37">
        <v>50</v>
      </c>
      <c r="G7" s="37">
        <v>57.5</v>
      </c>
      <c r="H7" s="37">
        <v>7.5</v>
      </c>
      <c r="I7" s="22">
        <v>500</v>
      </c>
      <c r="J7" s="23">
        <f t="shared" ref="J7:J32" si="1">H7*I7</f>
        <v>3750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43941</v>
      </c>
      <c r="D8" s="21" t="s">
        <v>18</v>
      </c>
      <c r="E8" s="21" t="s">
        <v>134</v>
      </c>
      <c r="F8" s="37">
        <v>38</v>
      </c>
      <c r="G8" s="37">
        <v>80</v>
      </c>
      <c r="H8" s="37">
        <v>72</v>
      </c>
      <c r="I8" s="22">
        <v>400</v>
      </c>
      <c r="J8" s="23">
        <f t="shared" si="1"/>
        <v>28800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43944</v>
      </c>
      <c r="D9" s="21" t="s">
        <v>18</v>
      </c>
      <c r="E9" s="21" t="s">
        <v>135</v>
      </c>
      <c r="F9" s="37">
        <v>2.5</v>
      </c>
      <c r="G9" s="37">
        <v>3.2</v>
      </c>
      <c r="H9" s="37">
        <v>0.7</v>
      </c>
      <c r="I9" s="22">
        <v>2600</v>
      </c>
      <c r="J9" s="23">
        <f t="shared" si="1"/>
        <v>1819.9999999999998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43922</v>
      </c>
      <c r="D10" s="21" t="s">
        <v>18</v>
      </c>
      <c r="E10" s="21" t="s">
        <v>136</v>
      </c>
      <c r="F10" s="37">
        <v>85</v>
      </c>
      <c r="G10" s="37">
        <v>97</v>
      </c>
      <c r="H10" s="37">
        <v>12</v>
      </c>
      <c r="I10" s="22">
        <v>500</v>
      </c>
      <c r="J10" s="23">
        <f t="shared" si="1"/>
        <v>6000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/>
      <c r="D11" s="21"/>
      <c r="E11" s="21"/>
      <c r="F11" s="37"/>
      <c r="G11" s="37"/>
      <c r="H11" s="37"/>
      <c r="I11" s="22"/>
      <c r="J11" s="23">
        <f t="shared" si="1"/>
        <v>0</v>
      </c>
      <c r="K11" s="7"/>
      <c r="V11" s="5">
        <f t="shared" si="2"/>
        <v>0</v>
      </c>
      <c r="W11" s="5">
        <f t="shared" si="3"/>
        <v>0</v>
      </c>
    </row>
    <row r="12" spans="1:23" x14ac:dyDescent="0.3">
      <c r="A12" s="6"/>
      <c r="B12" s="19">
        <v>7</v>
      </c>
      <c r="C12" s="20"/>
      <c r="D12" s="21"/>
      <c r="E12" s="21"/>
      <c r="F12" s="37"/>
      <c r="G12" s="37"/>
      <c r="H12" s="37"/>
      <c r="I12" s="22"/>
      <c r="J12" s="23">
        <f t="shared" si="1"/>
        <v>0</v>
      </c>
      <c r="K12" s="7"/>
      <c r="V12" s="5">
        <f t="shared" si="2"/>
        <v>0</v>
      </c>
      <c r="W12" s="5">
        <f t="shared" si="3"/>
        <v>0</v>
      </c>
    </row>
    <row r="13" spans="1:23" x14ac:dyDescent="0.3">
      <c r="A13" s="6"/>
      <c r="B13" s="19">
        <v>8</v>
      </c>
      <c r="C13" s="20"/>
      <c r="D13" s="21"/>
      <c r="E13" s="21"/>
      <c r="F13" s="37"/>
      <c r="G13" s="37"/>
      <c r="H13" s="37"/>
      <c r="I13" s="22"/>
      <c r="J13" s="23">
        <f t="shared" si="1"/>
        <v>0</v>
      </c>
      <c r="K13" s="7"/>
      <c r="V13" s="5">
        <f t="shared" si="2"/>
        <v>0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47570</v>
      </c>
      <c r="K33" s="7"/>
      <c r="V33" s="5">
        <f>SUM(V6:V32)</f>
        <v>5</v>
      </c>
      <c r="W33" s="5">
        <f>SUM(W6:W32)</f>
        <v>0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3:H33"/>
    <mergeCell ref="M6:M7"/>
    <mergeCell ref="N6:N7"/>
    <mergeCell ref="O6:O7"/>
    <mergeCell ref="P6:P7"/>
    <mergeCell ref="Q6:Q7"/>
    <mergeCell ref="R6:R7"/>
  </mergeCells>
  <hyperlinks>
    <hyperlink ref="B33" r:id="rId1" xr:uid="{00000000-0004-0000-1100-000000000000}"/>
    <hyperlink ref="M1" location="MASTER!A1" display="Back" xr:uid="{00000000-0004-0000-1100-000001000000}"/>
  </hyperlinks>
  <pageMargins left="0" right="0" top="0" bottom="0" header="0" footer="0"/>
  <pageSetup paperSize="9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34"/>
  <sheetViews>
    <sheetView workbookViewId="0">
      <selection activeCell="Q4" sqref="Q4:Q5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43952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8</v>
      </c>
      <c r="O4" s="108">
        <f>V33</f>
        <v>7</v>
      </c>
      <c r="P4" s="108">
        <f>W33</f>
        <v>1</v>
      </c>
      <c r="Q4" s="110">
        <f>N4-O4-P4</f>
        <v>0</v>
      </c>
      <c r="R4" s="94">
        <f>O4/N4</f>
        <v>0.875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43956</v>
      </c>
      <c r="D6" s="16" t="s">
        <v>18</v>
      </c>
      <c r="E6" s="16" t="s">
        <v>138</v>
      </c>
      <c r="F6" s="51">
        <v>8</v>
      </c>
      <c r="G6" s="51">
        <v>3.4</v>
      </c>
      <c r="H6" s="51">
        <v>-4.5999999999999996</v>
      </c>
      <c r="I6" s="17">
        <v>2700</v>
      </c>
      <c r="J6" s="18">
        <f>H6*I6</f>
        <v>-12419.999999999998</v>
      </c>
      <c r="K6" s="7"/>
      <c r="M6" s="88" t="s">
        <v>19</v>
      </c>
      <c r="N6" s="90">
        <f>SUM(N4:N5)</f>
        <v>8</v>
      </c>
      <c r="O6" s="90">
        <f>SUM(O4:O5)</f>
        <v>7</v>
      </c>
      <c r="P6" s="90">
        <f>SUM(P4:P5)</f>
        <v>1</v>
      </c>
      <c r="Q6" s="92">
        <f>SUM(Q4:Q5)</f>
        <v>0</v>
      </c>
      <c r="R6" s="94">
        <f t="shared" ref="R6" si="0">O6/N6</f>
        <v>0.875</v>
      </c>
      <c r="V6" s="5">
        <f>IF($J6&gt;0,1,0)</f>
        <v>0</v>
      </c>
      <c r="W6" s="5">
        <f>IF($J6&lt;0,1,0)</f>
        <v>1</v>
      </c>
    </row>
    <row r="7" spans="1:23" ht="15" thickBot="1" x14ac:dyDescent="0.35">
      <c r="A7" s="6"/>
      <c r="B7" s="19">
        <v>2</v>
      </c>
      <c r="C7" s="20">
        <v>43958</v>
      </c>
      <c r="D7" s="21" t="s">
        <v>18</v>
      </c>
      <c r="E7" s="21" t="s">
        <v>137</v>
      </c>
      <c r="F7" s="37">
        <v>70</v>
      </c>
      <c r="G7" s="37">
        <v>143</v>
      </c>
      <c r="H7" s="37">
        <v>73</v>
      </c>
      <c r="I7" s="22">
        <v>40</v>
      </c>
      <c r="J7" s="23">
        <f t="shared" ref="J7:J32" si="1">H7*I7</f>
        <v>2920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43963</v>
      </c>
      <c r="D8" s="21" t="s">
        <v>18</v>
      </c>
      <c r="E8" s="21" t="s">
        <v>139</v>
      </c>
      <c r="F8" s="37">
        <v>30</v>
      </c>
      <c r="G8" s="37">
        <v>58.9</v>
      </c>
      <c r="H8" s="37">
        <v>28.9</v>
      </c>
      <c r="I8" s="22">
        <v>500</v>
      </c>
      <c r="J8" s="23">
        <f t="shared" si="1"/>
        <v>14450</v>
      </c>
      <c r="K8" s="7"/>
      <c r="M8" s="67" t="s">
        <v>20</v>
      </c>
      <c r="N8" s="68"/>
      <c r="O8" s="69"/>
      <c r="P8" s="76">
        <f>R6</f>
        <v>0.875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43965</v>
      </c>
      <c r="D9" s="21" t="s">
        <v>18</v>
      </c>
      <c r="E9" s="21" t="s">
        <v>140</v>
      </c>
      <c r="F9" s="37">
        <v>50</v>
      </c>
      <c r="G9" s="37">
        <v>162</v>
      </c>
      <c r="H9" s="37">
        <v>112</v>
      </c>
      <c r="I9" s="22">
        <v>40</v>
      </c>
      <c r="J9" s="23">
        <f t="shared" si="1"/>
        <v>4480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43969</v>
      </c>
      <c r="D10" s="21" t="s">
        <v>18</v>
      </c>
      <c r="E10" s="21" t="s">
        <v>141</v>
      </c>
      <c r="F10" s="37">
        <v>12</v>
      </c>
      <c r="G10" s="37">
        <v>15</v>
      </c>
      <c r="H10" s="37">
        <v>3</v>
      </c>
      <c r="I10" s="22">
        <v>1375</v>
      </c>
      <c r="J10" s="23">
        <f t="shared" si="1"/>
        <v>4125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43972</v>
      </c>
      <c r="D11" s="21" t="s">
        <v>18</v>
      </c>
      <c r="E11" s="21" t="s">
        <v>142</v>
      </c>
      <c r="F11" s="37">
        <v>25</v>
      </c>
      <c r="G11" s="37">
        <v>230</v>
      </c>
      <c r="H11" s="37">
        <v>205</v>
      </c>
      <c r="I11" s="22">
        <v>40</v>
      </c>
      <c r="J11" s="23">
        <f t="shared" si="1"/>
        <v>8200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43978</v>
      </c>
      <c r="D12" s="21" t="s">
        <v>18</v>
      </c>
      <c r="E12" s="21" t="s">
        <v>143</v>
      </c>
      <c r="F12" s="37">
        <v>60</v>
      </c>
      <c r="G12" s="37">
        <v>121</v>
      </c>
      <c r="H12" s="37">
        <v>61</v>
      </c>
      <c r="I12" s="22">
        <v>40</v>
      </c>
      <c r="J12" s="23">
        <f t="shared" si="1"/>
        <v>2440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43978</v>
      </c>
      <c r="D13" s="21" t="s">
        <v>18</v>
      </c>
      <c r="E13" s="21" t="s">
        <v>144</v>
      </c>
      <c r="F13" s="37">
        <v>15</v>
      </c>
      <c r="G13" s="37">
        <v>23</v>
      </c>
      <c r="H13" s="37">
        <v>8</v>
      </c>
      <c r="I13" s="22">
        <v>150</v>
      </c>
      <c r="J13" s="23">
        <f t="shared" si="1"/>
        <v>1200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25395</v>
      </c>
      <c r="K33" s="7"/>
      <c r="V33" s="5">
        <f>SUM(V6:V32)</f>
        <v>7</v>
      </c>
      <c r="W33" s="5">
        <f>SUM(W6:W32)</f>
        <v>1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00000000-0004-0000-1200-000000000000}"/>
    <hyperlink ref="M1" location="MASTER!A1" display="Back" xr:uid="{00000000-0004-0000-1200-000001000000}"/>
  </hyperlinks>
  <pageMargins left="0" right="0" top="0" bottom="0" header="0" footer="0"/>
  <pageSetup paperSize="9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34"/>
  <sheetViews>
    <sheetView workbookViewId="0">
      <selection activeCell="M29" sqref="M29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43983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8</v>
      </c>
      <c r="O4" s="108">
        <f>V33</f>
        <v>7</v>
      </c>
      <c r="P4" s="108">
        <f>W33</f>
        <v>1</v>
      </c>
      <c r="Q4" s="110">
        <f>N4-O4-P4</f>
        <v>0</v>
      </c>
      <c r="R4" s="94">
        <f>O4/N4</f>
        <v>0.875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43984</v>
      </c>
      <c r="D6" s="16" t="s">
        <v>18</v>
      </c>
      <c r="E6" s="16" t="s">
        <v>145</v>
      </c>
      <c r="F6" s="51">
        <v>6.5</v>
      </c>
      <c r="G6" s="51">
        <v>7.2</v>
      </c>
      <c r="H6" s="51">
        <v>0.7</v>
      </c>
      <c r="I6" s="17">
        <v>2600</v>
      </c>
      <c r="J6" s="18">
        <f>H6*I6</f>
        <v>1819.9999999999998</v>
      </c>
      <c r="K6" s="7"/>
      <c r="M6" s="88" t="s">
        <v>19</v>
      </c>
      <c r="N6" s="90">
        <f>SUM(N4:N5)</f>
        <v>8</v>
      </c>
      <c r="O6" s="90">
        <f>SUM(O4:O5)</f>
        <v>7</v>
      </c>
      <c r="P6" s="90">
        <f>SUM(P4:P5)</f>
        <v>1</v>
      </c>
      <c r="Q6" s="92">
        <f>SUM(Q4:Q5)</f>
        <v>0</v>
      </c>
      <c r="R6" s="94">
        <f t="shared" ref="R6" si="0">O6/N6</f>
        <v>0.875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43987</v>
      </c>
      <c r="D7" s="21" t="s">
        <v>18</v>
      </c>
      <c r="E7" s="21" t="s">
        <v>146</v>
      </c>
      <c r="F7" s="37">
        <v>65</v>
      </c>
      <c r="G7" s="37">
        <v>89</v>
      </c>
      <c r="H7" s="37">
        <v>24</v>
      </c>
      <c r="I7" s="22">
        <v>400</v>
      </c>
      <c r="J7" s="23">
        <f t="shared" ref="J7:J32" si="1">H7*I7</f>
        <v>9600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43991</v>
      </c>
      <c r="D8" s="21" t="s">
        <v>18</v>
      </c>
      <c r="E8" s="21" t="s">
        <v>147</v>
      </c>
      <c r="F8" s="37">
        <v>220</v>
      </c>
      <c r="G8" s="37">
        <v>274</v>
      </c>
      <c r="H8" s="37">
        <v>54</v>
      </c>
      <c r="I8" s="22">
        <v>40</v>
      </c>
      <c r="J8" s="23">
        <f t="shared" si="1"/>
        <v>2160</v>
      </c>
      <c r="K8" s="7"/>
      <c r="M8" s="67" t="s">
        <v>20</v>
      </c>
      <c r="N8" s="68"/>
      <c r="O8" s="69"/>
      <c r="P8" s="76">
        <f>R6</f>
        <v>0.875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43993</v>
      </c>
      <c r="D9" s="21" t="s">
        <v>18</v>
      </c>
      <c r="E9" s="21" t="s">
        <v>148</v>
      </c>
      <c r="F9" s="37">
        <v>30</v>
      </c>
      <c r="G9" s="37">
        <v>50</v>
      </c>
      <c r="H9" s="37">
        <v>20</v>
      </c>
      <c r="I9" s="22">
        <v>40</v>
      </c>
      <c r="J9" s="23">
        <f t="shared" si="1"/>
        <v>800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43997</v>
      </c>
      <c r="D10" s="21" t="s">
        <v>18</v>
      </c>
      <c r="E10" s="21" t="s">
        <v>149</v>
      </c>
      <c r="F10" s="37">
        <v>2</v>
      </c>
      <c r="G10" s="37">
        <v>4.3499999999999996</v>
      </c>
      <c r="H10" s="37">
        <v>2.35</v>
      </c>
      <c r="I10" s="22">
        <v>8000</v>
      </c>
      <c r="J10" s="23">
        <f t="shared" si="1"/>
        <v>18800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43999</v>
      </c>
      <c r="D11" s="21" t="s">
        <v>18</v>
      </c>
      <c r="E11" s="21" t="s">
        <v>150</v>
      </c>
      <c r="F11" s="37">
        <v>9</v>
      </c>
      <c r="G11" s="37">
        <v>31.95</v>
      </c>
      <c r="H11" s="37">
        <v>1500</v>
      </c>
      <c r="I11" s="22">
        <v>22.95</v>
      </c>
      <c r="J11" s="23">
        <f t="shared" si="1"/>
        <v>34425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44000</v>
      </c>
      <c r="D12" s="21" t="s">
        <v>18</v>
      </c>
      <c r="E12" s="21" t="s">
        <v>151</v>
      </c>
      <c r="F12" s="37">
        <v>10</v>
      </c>
      <c r="G12" s="37">
        <v>0</v>
      </c>
      <c r="H12" s="37">
        <v>-10</v>
      </c>
      <c r="I12" s="22">
        <v>40</v>
      </c>
      <c r="J12" s="23">
        <f t="shared" si="1"/>
        <v>-400</v>
      </c>
      <c r="K12" s="7"/>
      <c r="V12" s="5">
        <f t="shared" si="2"/>
        <v>0</v>
      </c>
      <c r="W12" s="5">
        <f t="shared" si="3"/>
        <v>1</v>
      </c>
    </row>
    <row r="13" spans="1:23" x14ac:dyDescent="0.3">
      <c r="A13" s="6"/>
      <c r="B13" s="19">
        <v>8</v>
      </c>
      <c r="C13" s="20">
        <v>44001</v>
      </c>
      <c r="D13" s="21" t="s">
        <v>18</v>
      </c>
      <c r="E13" s="21" t="s">
        <v>152</v>
      </c>
      <c r="F13" s="37">
        <v>30</v>
      </c>
      <c r="G13" s="37">
        <v>40.950000000000003</v>
      </c>
      <c r="H13" s="37">
        <v>10.95</v>
      </c>
      <c r="I13" s="22">
        <v>500</v>
      </c>
      <c r="J13" s="23">
        <f t="shared" si="1"/>
        <v>5475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72680</v>
      </c>
      <c r="K33" s="7"/>
      <c r="V33" s="5">
        <f>SUM(V6:V32)</f>
        <v>7</v>
      </c>
      <c r="W33" s="5">
        <f>SUM(W6:W32)</f>
        <v>1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00000000-0004-0000-1300-000000000000}"/>
    <hyperlink ref="M1" location="MASTER!A1" display="Back" xr:uid="{00000000-0004-0000-1300-000001000000}"/>
  </hyperlinks>
  <pageMargins left="0" right="0" top="0" bottom="0" header="0" footer="0"/>
  <pageSetup paperSize="9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W34"/>
  <sheetViews>
    <sheetView workbookViewId="0">
      <selection activeCell="R6" sqref="R6:R7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44013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5</v>
      </c>
      <c r="O4" s="108">
        <f>V33</f>
        <v>4</v>
      </c>
      <c r="P4" s="108">
        <f>W33</f>
        <v>1</v>
      </c>
      <c r="Q4" s="110">
        <f>N4-O4-P4</f>
        <v>0</v>
      </c>
      <c r="R4" s="94">
        <f>O4/N4</f>
        <v>0.8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44013</v>
      </c>
      <c r="D6" s="16" t="s">
        <v>18</v>
      </c>
      <c r="E6" s="16" t="s">
        <v>153</v>
      </c>
      <c r="F6" s="51">
        <v>100</v>
      </c>
      <c r="G6" s="51">
        <v>70</v>
      </c>
      <c r="H6" s="51">
        <v>-30</v>
      </c>
      <c r="I6" s="17">
        <v>50</v>
      </c>
      <c r="J6" s="18">
        <f>H6*I6</f>
        <v>-1500</v>
      </c>
      <c r="K6" s="7"/>
      <c r="M6" s="88" t="s">
        <v>19</v>
      </c>
      <c r="N6" s="90">
        <f>SUM(N4:N5)</f>
        <v>5</v>
      </c>
      <c r="O6" s="90">
        <f>SUM(O4:O5)</f>
        <v>4</v>
      </c>
      <c r="P6" s="90">
        <f>SUM(P4:P5)</f>
        <v>1</v>
      </c>
      <c r="Q6" s="92">
        <f>SUM(Q4:Q5)</f>
        <v>0</v>
      </c>
      <c r="R6" s="94">
        <f t="shared" ref="R6" si="0">O6/N6</f>
        <v>0.8</v>
      </c>
      <c r="V6" s="5">
        <f>IF($J6&gt;0,1,0)</f>
        <v>0</v>
      </c>
      <c r="W6" s="5">
        <f>IF($J6&lt;0,1,0)</f>
        <v>1</v>
      </c>
    </row>
    <row r="7" spans="1:23" ht="15" thickBot="1" x14ac:dyDescent="0.35">
      <c r="A7" s="6"/>
      <c r="B7" s="19">
        <v>2</v>
      </c>
      <c r="C7" s="20">
        <v>44019</v>
      </c>
      <c r="D7" s="21" t="s">
        <v>18</v>
      </c>
      <c r="E7" s="21" t="s">
        <v>154</v>
      </c>
      <c r="F7" s="37">
        <v>42</v>
      </c>
      <c r="G7" s="37">
        <v>57.3</v>
      </c>
      <c r="H7" s="37">
        <v>15.3</v>
      </c>
      <c r="I7" s="22">
        <v>505</v>
      </c>
      <c r="J7" s="23">
        <f t="shared" ref="J7:J32" si="1">H7*I7</f>
        <v>7726.5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44027</v>
      </c>
      <c r="D8" s="21" t="s">
        <v>18</v>
      </c>
      <c r="E8" s="21" t="s">
        <v>155</v>
      </c>
      <c r="F8" s="37">
        <v>34</v>
      </c>
      <c r="G8" s="37">
        <v>40.299999999999997</v>
      </c>
      <c r="H8" s="37">
        <v>6.3</v>
      </c>
      <c r="I8" s="22">
        <v>505</v>
      </c>
      <c r="J8" s="23">
        <f t="shared" si="1"/>
        <v>3181.5</v>
      </c>
      <c r="K8" s="7"/>
      <c r="M8" s="67" t="s">
        <v>20</v>
      </c>
      <c r="N8" s="68"/>
      <c r="O8" s="69"/>
      <c r="P8" s="76">
        <f>R6</f>
        <v>0.8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44034</v>
      </c>
      <c r="D9" s="21" t="s">
        <v>18</v>
      </c>
      <c r="E9" s="21" t="s">
        <v>156</v>
      </c>
      <c r="F9" s="37">
        <v>44</v>
      </c>
      <c r="G9" s="37">
        <v>145</v>
      </c>
      <c r="H9" s="37">
        <v>101</v>
      </c>
      <c r="I9" s="22">
        <v>505</v>
      </c>
      <c r="J9" s="23">
        <f t="shared" si="1"/>
        <v>51005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44042</v>
      </c>
      <c r="D10" s="21" t="s">
        <v>18</v>
      </c>
      <c r="E10" s="21" t="s">
        <v>157</v>
      </c>
      <c r="F10" s="37">
        <v>4</v>
      </c>
      <c r="G10" s="37">
        <v>14.35</v>
      </c>
      <c r="H10" s="37">
        <v>10.35</v>
      </c>
      <c r="I10" s="22">
        <v>150</v>
      </c>
      <c r="J10" s="23">
        <f t="shared" si="1"/>
        <v>1552.5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/>
      <c r="D11" s="21"/>
      <c r="E11" s="21"/>
      <c r="F11" s="37"/>
      <c r="G11" s="37"/>
      <c r="H11" s="37"/>
      <c r="I11" s="22"/>
      <c r="J11" s="23">
        <f t="shared" si="1"/>
        <v>0</v>
      </c>
      <c r="K11" s="7"/>
      <c r="V11" s="5">
        <f t="shared" si="2"/>
        <v>0</v>
      </c>
      <c r="W11" s="5">
        <f t="shared" si="3"/>
        <v>0</v>
      </c>
    </row>
    <row r="12" spans="1:23" x14ac:dyDescent="0.3">
      <c r="A12" s="6"/>
      <c r="B12" s="19">
        <v>7</v>
      </c>
      <c r="C12" s="20"/>
      <c r="D12" s="21"/>
      <c r="E12" s="21"/>
      <c r="F12" s="37"/>
      <c r="G12" s="37"/>
      <c r="H12" s="37"/>
      <c r="I12" s="22"/>
      <c r="J12" s="23">
        <f t="shared" si="1"/>
        <v>0</v>
      </c>
      <c r="K12" s="7"/>
      <c r="V12" s="5">
        <f t="shared" si="2"/>
        <v>0</v>
      </c>
      <c r="W12" s="5">
        <f t="shared" si="3"/>
        <v>0</v>
      </c>
    </row>
    <row r="13" spans="1:23" x14ac:dyDescent="0.3">
      <c r="A13" s="6"/>
      <c r="B13" s="19">
        <v>8</v>
      </c>
      <c r="C13" s="20"/>
      <c r="D13" s="21"/>
      <c r="E13" s="21"/>
      <c r="F13" s="37"/>
      <c r="G13" s="37"/>
      <c r="H13" s="37"/>
      <c r="I13" s="22"/>
      <c r="J13" s="23">
        <f t="shared" si="1"/>
        <v>0</v>
      </c>
      <c r="K13" s="7"/>
      <c r="V13" s="5">
        <f t="shared" si="2"/>
        <v>0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61965.5</v>
      </c>
      <c r="K33" s="7"/>
      <c r="V33" s="5">
        <f>SUM(V6:V32)</f>
        <v>4</v>
      </c>
      <c r="W33" s="5">
        <f>SUM(W6:W32)</f>
        <v>1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00000000-0004-0000-1400-000000000000}"/>
    <hyperlink ref="M1" location="MASTER!A1" display="Back" xr:uid="{00000000-0004-0000-1400-000001000000}"/>
  </hyperlinks>
  <pageMargins left="0" right="0" top="0" bottom="0" header="0" footer="0"/>
  <pageSetup paperSize="9"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W34"/>
  <sheetViews>
    <sheetView workbookViewId="0">
      <selection activeCell="M15" sqref="M15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44044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5</v>
      </c>
      <c r="O4" s="108">
        <f>V33</f>
        <v>5</v>
      </c>
      <c r="P4" s="108">
        <f>W33</f>
        <v>0</v>
      </c>
      <c r="Q4" s="110">
        <f>N4-O4-P4</f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44046</v>
      </c>
      <c r="D6" s="16" t="s">
        <v>18</v>
      </c>
      <c r="E6" s="16" t="s">
        <v>158</v>
      </c>
      <c r="F6" s="51">
        <v>145</v>
      </c>
      <c r="G6" s="51">
        <v>167</v>
      </c>
      <c r="H6" s="51">
        <v>22</v>
      </c>
      <c r="I6" s="17">
        <v>250</v>
      </c>
      <c r="J6" s="18">
        <f>H6*I6</f>
        <v>5500</v>
      </c>
      <c r="K6" s="7"/>
      <c r="M6" s="88" t="s">
        <v>19</v>
      </c>
      <c r="N6" s="90">
        <f>SUM(N4:N5)</f>
        <v>5</v>
      </c>
      <c r="O6" s="90">
        <f>SUM(O4:O5)</f>
        <v>5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44054</v>
      </c>
      <c r="D7" s="21" t="s">
        <v>18</v>
      </c>
      <c r="E7" s="21" t="s">
        <v>159</v>
      </c>
      <c r="F7" s="37">
        <v>145</v>
      </c>
      <c r="G7" s="37">
        <v>171.25</v>
      </c>
      <c r="H7" s="37">
        <v>26.25</v>
      </c>
      <c r="I7" s="22">
        <v>250</v>
      </c>
      <c r="J7" s="23">
        <f t="shared" ref="J7:J32" si="1">H7*I7</f>
        <v>6562.5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44056</v>
      </c>
      <c r="D8" s="21" t="s">
        <v>18</v>
      </c>
      <c r="E8" s="21" t="s">
        <v>160</v>
      </c>
      <c r="F8" s="37">
        <v>2.5</v>
      </c>
      <c r="G8" s="37">
        <v>4.5999999999999996</v>
      </c>
      <c r="H8" s="37">
        <v>2.1</v>
      </c>
      <c r="I8" s="22">
        <v>6000</v>
      </c>
      <c r="J8" s="23">
        <f t="shared" si="1"/>
        <v>12600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44063</v>
      </c>
      <c r="D9" s="21" t="s">
        <v>18</v>
      </c>
      <c r="E9" s="21" t="s">
        <v>161</v>
      </c>
      <c r="F9" s="37">
        <v>75</v>
      </c>
      <c r="G9" s="37">
        <v>294</v>
      </c>
      <c r="H9" s="37">
        <v>219</v>
      </c>
      <c r="I9" s="22">
        <v>250</v>
      </c>
      <c r="J9" s="23">
        <f t="shared" si="1"/>
        <v>54750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44070</v>
      </c>
      <c r="D10" s="21" t="s">
        <v>18</v>
      </c>
      <c r="E10" s="21" t="s">
        <v>162</v>
      </c>
      <c r="F10" s="37">
        <v>25</v>
      </c>
      <c r="G10" s="37">
        <v>33</v>
      </c>
      <c r="H10" s="37">
        <v>8</v>
      </c>
      <c r="I10" s="22">
        <v>50</v>
      </c>
      <c r="J10" s="23">
        <f t="shared" si="1"/>
        <v>400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/>
      <c r="D11" s="21"/>
      <c r="E11" s="21"/>
      <c r="F11" s="37"/>
      <c r="G11" s="37"/>
      <c r="H11" s="37"/>
      <c r="I11" s="22"/>
      <c r="J11" s="23">
        <f t="shared" si="1"/>
        <v>0</v>
      </c>
      <c r="K11" s="7"/>
      <c r="V11" s="5">
        <f t="shared" si="2"/>
        <v>0</v>
      </c>
      <c r="W11" s="5">
        <f t="shared" si="3"/>
        <v>0</v>
      </c>
    </row>
    <row r="12" spans="1:23" x14ac:dyDescent="0.3">
      <c r="A12" s="6"/>
      <c r="B12" s="19">
        <v>7</v>
      </c>
      <c r="C12" s="20"/>
      <c r="D12" s="21"/>
      <c r="E12" s="21"/>
      <c r="F12" s="37"/>
      <c r="G12" s="37"/>
      <c r="H12" s="37"/>
      <c r="I12" s="22"/>
      <c r="J12" s="23">
        <f t="shared" si="1"/>
        <v>0</v>
      </c>
      <c r="K12" s="7"/>
      <c r="V12" s="5">
        <f t="shared" si="2"/>
        <v>0</v>
      </c>
      <c r="W12" s="5">
        <f t="shared" si="3"/>
        <v>0</v>
      </c>
    </row>
    <row r="13" spans="1:23" x14ac:dyDescent="0.3">
      <c r="A13" s="6"/>
      <c r="B13" s="19">
        <v>8</v>
      </c>
      <c r="C13" s="20"/>
      <c r="D13" s="21"/>
      <c r="E13" s="21"/>
      <c r="F13" s="37"/>
      <c r="G13" s="37"/>
      <c r="H13" s="37"/>
      <c r="I13" s="22"/>
      <c r="J13" s="23">
        <f t="shared" si="1"/>
        <v>0</v>
      </c>
      <c r="K13" s="7"/>
      <c r="V13" s="5">
        <f t="shared" si="2"/>
        <v>0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79812.5</v>
      </c>
      <c r="K33" s="7"/>
      <c r="V33" s="5">
        <f>SUM(V6:V32)</f>
        <v>5</v>
      </c>
      <c r="W33" s="5">
        <f>SUM(W6:W32)</f>
        <v>0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00000000-0004-0000-1500-000000000000}"/>
    <hyperlink ref="M1" location="MASTER!A1" display="Back" xr:uid="{00000000-0004-0000-1500-000001000000}"/>
  </hyperlinks>
  <pageMargins left="0" right="0" top="0" bottom="0" header="0" footer="0"/>
  <pageSetup paperSize="9" orientation="portrait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W34"/>
  <sheetViews>
    <sheetView workbookViewId="0">
      <selection activeCell="N33" sqref="N33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44075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5</v>
      </c>
      <c r="O4" s="108">
        <f>V33</f>
        <v>5</v>
      </c>
      <c r="P4" s="108">
        <f>W33</f>
        <v>0</v>
      </c>
      <c r="Q4" s="110">
        <f>N4-O4-P4</f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44077</v>
      </c>
      <c r="D6" s="16" t="s">
        <v>18</v>
      </c>
      <c r="E6" s="16" t="s">
        <v>163</v>
      </c>
      <c r="F6" s="51">
        <v>25</v>
      </c>
      <c r="G6" s="51">
        <v>114</v>
      </c>
      <c r="H6" s="51">
        <v>89</v>
      </c>
      <c r="I6" s="17">
        <v>50</v>
      </c>
      <c r="J6" s="18">
        <f>H6*I6</f>
        <v>4450</v>
      </c>
      <c r="K6" s="7"/>
      <c r="M6" s="88" t="s">
        <v>19</v>
      </c>
      <c r="N6" s="90">
        <f>SUM(N4:N5)</f>
        <v>5</v>
      </c>
      <c r="O6" s="90">
        <f>SUM(O4:O5)</f>
        <v>5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44083</v>
      </c>
      <c r="D7" s="21" t="s">
        <v>18</v>
      </c>
      <c r="E7" s="21" t="s">
        <v>164</v>
      </c>
      <c r="F7" s="37">
        <v>25</v>
      </c>
      <c r="G7" s="37">
        <v>39</v>
      </c>
      <c r="H7" s="37">
        <v>14</v>
      </c>
      <c r="I7" s="22">
        <v>800</v>
      </c>
      <c r="J7" s="23">
        <f t="shared" ref="J7:J32" si="1">H7*I7</f>
        <v>11200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44084</v>
      </c>
      <c r="D8" s="21" t="s">
        <v>18</v>
      </c>
      <c r="E8" s="21" t="s">
        <v>165</v>
      </c>
      <c r="F8" s="37">
        <v>20</v>
      </c>
      <c r="G8" s="37">
        <v>199</v>
      </c>
      <c r="H8" s="37">
        <v>179</v>
      </c>
      <c r="I8" s="22">
        <v>50</v>
      </c>
      <c r="J8" s="23">
        <f t="shared" si="1"/>
        <v>8950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44091</v>
      </c>
      <c r="D9" s="21" t="s">
        <v>18</v>
      </c>
      <c r="E9" s="21" t="s">
        <v>166</v>
      </c>
      <c r="F9" s="37">
        <v>20</v>
      </c>
      <c r="G9" s="37">
        <v>36</v>
      </c>
      <c r="H9" s="37">
        <v>16</v>
      </c>
      <c r="I9" s="22">
        <v>50</v>
      </c>
      <c r="J9" s="23">
        <f t="shared" si="1"/>
        <v>800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44098</v>
      </c>
      <c r="D10" s="21" t="s">
        <v>18</v>
      </c>
      <c r="E10" s="21" t="s">
        <v>167</v>
      </c>
      <c r="F10" s="37">
        <v>20</v>
      </c>
      <c r="G10" s="37">
        <v>153</v>
      </c>
      <c r="H10" s="37">
        <v>133</v>
      </c>
      <c r="I10" s="22">
        <v>50</v>
      </c>
      <c r="J10" s="23">
        <f t="shared" si="1"/>
        <v>6650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/>
      <c r="D11" s="21"/>
      <c r="E11" s="21"/>
      <c r="F11" s="37"/>
      <c r="G11" s="37"/>
      <c r="H11" s="37"/>
      <c r="I11" s="22"/>
      <c r="J11" s="23">
        <f t="shared" si="1"/>
        <v>0</v>
      </c>
      <c r="K11" s="7"/>
      <c r="V11" s="5">
        <f t="shared" si="2"/>
        <v>0</v>
      </c>
      <c r="W11" s="5">
        <f t="shared" si="3"/>
        <v>0</v>
      </c>
    </row>
    <row r="12" spans="1:23" x14ac:dyDescent="0.3">
      <c r="A12" s="6"/>
      <c r="B12" s="19">
        <v>7</v>
      </c>
      <c r="C12" s="20"/>
      <c r="D12" s="21"/>
      <c r="E12" s="21"/>
      <c r="F12" s="37"/>
      <c r="G12" s="37"/>
      <c r="H12" s="37"/>
      <c r="I12" s="22"/>
      <c r="J12" s="23">
        <f t="shared" si="1"/>
        <v>0</v>
      </c>
      <c r="K12" s="7"/>
      <c r="V12" s="5">
        <f t="shared" si="2"/>
        <v>0</v>
      </c>
      <c r="W12" s="5">
        <f t="shared" si="3"/>
        <v>0</v>
      </c>
    </row>
    <row r="13" spans="1:23" x14ac:dyDescent="0.3">
      <c r="A13" s="6"/>
      <c r="B13" s="19">
        <v>8</v>
      </c>
      <c r="C13" s="20"/>
      <c r="D13" s="21"/>
      <c r="E13" s="21"/>
      <c r="F13" s="37"/>
      <c r="G13" s="37"/>
      <c r="H13" s="37"/>
      <c r="I13" s="22"/>
      <c r="J13" s="23">
        <f t="shared" si="1"/>
        <v>0</v>
      </c>
      <c r="K13" s="7"/>
      <c r="V13" s="5">
        <f t="shared" si="2"/>
        <v>0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32050</v>
      </c>
      <c r="K33" s="7"/>
      <c r="V33" s="5">
        <f>SUM(V6:V32)</f>
        <v>5</v>
      </c>
      <c r="W33" s="5">
        <f>SUM(W6:W32)</f>
        <v>0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3:H33"/>
    <mergeCell ref="M6:M7"/>
    <mergeCell ref="N6:N7"/>
    <mergeCell ref="O6:O7"/>
    <mergeCell ref="P6:P7"/>
    <mergeCell ref="Q6:Q7"/>
    <mergeCell ref="R6:R7"/>
  </mergeCells>
  <hyperlinks>
    <hyperlink ref="B33" r:id="rId1" xr:uid="{00000000-0004-0000-1600-000000000000}"/>
    <hyperlink ref="M1" location="MASTER!A1" display="Back" xr:uid="{00000000-0004-0000-1600-000001000000}"/>
  </hyperlinks>
  <pageMargins left="0" right="0" top="0" bottom="0" header="0" footer="0"/>
  <pageSetup paperSize="9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34"/>
  <sheetViews>
    <sheetView workbookViewId="0"/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44105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4</v>
      </c>
      <c r="O4" s="108">
        <f>V33</f>
        <v>4</v>
      </c>
      <c r="P4" s="108">
        <f>W33</f>
        <v>0</v>
      </c>
      <c r="Q4" s="110">
        <f>N4-O4-P4</f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44112</v>
      </c>
      <c r="D6" s="16" t="s">
        <v>18</v>
      </c>
      <c r="E6" s="16" t="s">
        <v>168</v>
      </c>
      <c r="F6" s="51">
        <v>25</v>
      </c>
      <c r="G6" s="51">
        <v>40</v>
      </c>
      <c r="H6" s="51">
        <v>15</v>
      </c>
      <c r="I6" s="17">
        <v>50</v>
      </c>
      <c r="J6" s="18">
        <f>H6*I6</f>
        <v>750</v>
      </c>
      <c r="K6" s="7"/>
      <c r="M6" s="88" t="s">
        <v>19</v>
      </c>
      <c r="N6" s="90">
        <f>SUM(N4:N5)</f>
        <v>4</v>
      </c>
      <c r="O6" s="90">
        <f>SUM(O4:O5)</f>
        <v>4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44118</v>
      </c>
      <c r="D7" s="21" t="s">
        <v>18</v>
      </c>
      <c r="E7" s="21" t="s">
        <v>169</v>
      </c>
      <c r="F7" s="37">
        <v>3.6</v>
      </c>
      <c r="G7" s="37">
        <v>4.25</v>
      </c>
      <c r="H7" s="37">
        <v>0.65</v>
      </c>
      <c r="I7" s="22">
        <v>7000</v>
      </c>
      <c r="J7" s="23">
        <f t="shared" ref="J7:J32" si="1">H7*I7</f>
        <v>4550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44123</v>
      </c>
      <c r="D8" s="21" t="s">
        <v>18</v>
      </c>
      <c r="E8" s="21" t="s">
        <v>170</v>
      </c>
      <c r="F8" s="37">
        <v>108</v>
      </c>
      <c r="G8" s="37">
        <v>132</v>
      </c>
      <c r="H8" s="37">
        <v>24</v>
      </c>
      <c r="I8" s="22">
        <v>250</v>
      </c>
      <c r="J8" s="23">
        <f t="shared" si="1"/>
        <v>6000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44133</v>
      </c>
      <c r="D9" s="21" t="s">
        <v>18</v>
      </c>
      <c r="E9" s="21" t="s">
        <v>171</v>
      </c>
      <c r="F9" s="37">
        <v>20</v>
      </c>
      <c r="G9" s="37">
        <v>30</v>
      </c>
      <c r="H9" s="37">
        <v>10</v>
      </c>
      <c r="I9" s="22">
        <v>50</v>
      </c>
      <c r="J9" s="23">
        <f t="shared" si="1"/>
        <v>500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/>
      <c r="D10" s="21"/>
      <c r="E10" s="21"/>
      <c r="F10" s="37"/>
      <c r="G10" s="37"/>
      <c r="H10" s="37"/>
      <c r="I10" s="22"/>
      <c r="J10" s="23">
        <f t="shared" si="1"/>
        <v>0</v>
      </c>
      <c r="K10" s="7"/>
      <c r="M10" s="73"/>
      <c r="N10" s="74"/>
      <c r="O10" s="75"/>
      <c r="P10" s="82"/>
      <c r="Q10" s="83"/>
      <c r="R10" s="84"/>
      <c r="V10" s="5">
        <f t="shared" si="2"/>
        <v>0</v>
      </c>
      <c r="W10" s="5">
        <f t="shared" si="3"/>
        <v>0</v>
      </c>
    </row>
    <row r="11" spans="1:23" x14ac:dyDescent="0.3">
      <c r="A11" s="6"/>
      <c r="B11" s="19">
        <v>6</v>
      </c>
      <c r="C11" s="20"/>
      <c r="D11" s="21"/>
      <c r="E11" s="21"/>
      <c r="F11" s="37"/>
      <c r="G11" s="37"/>
      <c r="H11" s="37"/>
      <c r="I11" s="22"/>
      <c r="J11" s="23">
        <f t="shared" si="1"/>
        <v>0</v>
      </c>
      <c r="K11" s="7"/>
      <c r="V11" s="5">
        <f t="shared" si="2"/>
        <v>0</v>
      </c>
      <c r="W11" s="5">
        <f t="shared" si="3"/>
        <v>0</v>
      </c>
    </row>
    <row r="12" spans="1:23" x14ac:dyDescent="0.3">
      <c r="A12" s="6"/>
      <c r="B12" s="19">
        <v>7</v>
      </c>
      <c r="C12" s="20"/>
      <c r="D12" s="21"/>
      <c r="E12" s="21"/>
      <c r="F12" s="37"/>
      <c r="G12" s="37"/>
      <c r="H12" s="37"/>
      <c r="I12" s="22"/>
      <c r="J12" s="23">
        <f t="shared" si="1"/>
        <v>0</v>
      </c>
      <c r="K12" s="7"/>
      <c r="V12" s="5">
        <f t="shared" si="2"/>
        <v>0</v>
      </c>
      <c r="W12" s="5">
        <f t="shared" si="3"/>
        <v>0</v>
      </c>
    </row>
    <row r="13" spans="1:23" x14ac:dyDescent="0.3">
      <c r="A13" s="6"/>
      <c r="B13" s="19">
        <v>8</v>
      </c>
      <c r="C13" s="20"/>
      <c r="D13" s="21"/>
      <c r="E13" s="21"/>
      <c r="F13" s="37"/>
      <c r="G13" s="37"/>
      <c r="H13" s="37"/>
      <c r="I13" s="22"/>
      <c r="J13" s="23">
        <f t="shared" si="1"/>
        <v>0</v>
      </c>
      <c r="K13" s="7"/>
      <c r="V13" s="5">
        <f t="shared" si="2"/>
        <v>0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11800</v>
      </c>
      <c r="K33" s="7"/>
      <c r="V33" s="5">
        <f>SUM(V6:V32)</f>
        <v>4</v>
      </c>
      <c r="W33" s="5">
        <f>SUM(W6:W32)</f>
        <v>0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00000000-0004-0000-1700-000000000000}"/>
    <hyperlink ref="M1" location="MASTER!A1" display="Back" xr:uid="{00000000-0004-0000-1700-000001000000}"/>
  </hyperlinks>
  <pageMargins left="0" right="0" top="0" bottom="0" header="0" footer="0"/>
  <pageSetup paperSize="9" orientation="portrait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W34"/>
  <sheetViews>
    <sheetView workbookViewId="0"/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44136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4</v>
      </c>
      <c r="O4" s="108">
        <f>V33</f>
        <v>4</v>
      </c>
      <c r="P4" s="108">
        <f>W33</f>
        <v>0</v>
      </c>
      <c r="Q4" s="110">
        <f>N4-O4-P4</f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44139</v>
      </c>
      <c r="D6" s="16" t="s">
        <v>18</v>
      </c>
      <c r="E6" s="16" t="s">
        <v>172</v>
      </c>
      <c r="F6" s="51">
        <v>47</v>
      </c>
      <c r="G6" s="51">
        <v>102</v>
      </c>
      <c r="H6" s="51">
        <v>55</v>
      </c>
      <c r="I6" s="17">
        <v>505</v>
      </c>
      <c r="J6" s="18">
        <f>H6*I6</f>
        <v>27775</v>
      </c>
      <c r="K6" s="7"/>
      <c r="M6" s="88" t="s">
        <v>19</v>
      </c>
      <c r="N6" s="90">
        <f>SUM(N4:N5)</f>
        <v>4</v>
      </c>
      <c r="O6" s="90">
        <f>SUM(O4:O5)</f>
        <v>4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44154</v>
      </c>
      <c r="D7" s="21" t="s">
        <v>18</v>
      </c>
      <c r="E7" s="21" t="s">
        <v>173</v>
      </c>
      <c r="F7" s="37">
        <v>25</v>
      </c>
      <c r="G7" s="37">
        <v>315</v>
      </c>
      <c r="H7" s="37">
        <v>290</v>
      </c>
      <c r="I7" s="22">
        <v>50</v>
      </c>
      <c r="J7" s="23">
        <f t="shared" ref="J7:J32" si="1">H7*I7</f>
        <v>14500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44155</v>
      </c>
      <c r="D8" s="21" t="s">
        <v>18</v>
      </c>
      <c r="E8" s="21" t="s">
        <v>174</v>
      </c>
      <c r="F8" s="37">
        <v>28</v>
      </c>
      <c r="G8" s="37">
        <v>40</v>
      </c>
      <c r="H8" s="37">
        <v>12</v>
      </c>
      <c r="I8" s="22">
        <v>505</v>
      </c>
      <c r="J8" s="23">
        <f t="shared" si="1"/>
        <v>6060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44158</v>
      </c>
      <c r="D9" s="21" t="s">
        <v>18</v>
      </c>
      <c r="E9" s="21" t="s">
        <v>175</v>
      </c>
      <c r="F9" s="37">
        <v>140</v>
      </c>
      <c r="G9" s="37">
        <v>218</v>
      </c>
      <c r="H9" s="37">
        <v>78</v>
      </c>
      <c r="I9" s="22">
        <v>50</v>
      </c>
      <c r="J9" s="23">
        <f t="shared" si="1"/>
        <v>3900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/>
      <c r="D10" s="21"/>
      <c r="E10" s="21"/>
      <c r="F10" s="37"/>
      <c r="G10" s="37"/>
      <c r="H10" s="37"/>
      <c r="I10" s="22"/>
      <c r="J10" s="23">
        <f t="shared" si="1"/>
        <v>0</v>
      </c>
      <c r="K10" s="7"/>
      <c r="M10" s="73"/>
      <c r="N10" s="74"/>
      <c r="O10" s="75"/>
      <c r="P10" s="82"/>
      <c r="Q10" s="83"/>
      <c r="R10" s="84"/>
      <c r="V10" s="5">
        <f t="shared" si="2"/>
        <v>0</v>
      </c>
      <c r="W10" s="5">
        <f t="shared" si="3"/>
        <v>0</v>
      </c>
    </row>
    <row r="11" spans="1:23" x14ac:dyDescent="0.3">
      <c r="A11" s="6"/>
      <c r="B11" s="19">
        <v>6</v>
      </c>
      <c r="C11" s="20"/>
      <c r="D11" s="21"/>
      <c r="E11" s="21"/>
      <c r="F11" s="37"/>
      <c r="G11" s="37"/>
      <c r="H11" s="37"/>
      <c r="I11" s="22"/>
      <c r="J11" s="23">
        <f t="shared" si="1"/>
        <v>0</v>
      </c>
      <c r="K11" s="7"/>
      <c r="V11" s="5">
        <f t="shared" si="2"/>
        <v>0</v>
      </c>
      <c r="W11" s="5">
        <f t="shared" si="3"/>
        <v>0</v>
      </c>
    </row>
    <row r="12" spans="1:23" x14ac:dyDescent="0.3">
      <c r="A12" s="6"/>
      <c r="B12" s="19">
        <v>7</v>
      </c>
      <c r="C12" s="20"/>
      <c r="D12" s="21"/>
      <c r="E12" s="21"/>
      <c r="F12" s="37"/>
      <c r="G12" s="37"/>
      <c r="H12" s="37"/>
      <c r="I12" s="22"/>
      <c r="J12" s="23">
        <f t="shared" si="1"/>
        <v>0</v>
      </c>
      <c r="K12" s="7"/>
      <c r="V12" s="5">
        <f t="shared" si="2"/>
        <v>0</v>
      </c>
      <c r="W12" s="5">
        <f t="shared" si="3"/>
        <v>0</v>
      </c>
    </row>
    <row r="13" spans="1:23" x14ac:dyDescent="0.3">
      <c r="A13" s="6"/>
      <c r="B13" s="19">
        <v>8</v>
      </c>
      <c r="C13" s="20"/>
      <c r="D13" s="21"/>
      <c r="E13" s="21"/>
      <c r="F13" s="37"/>
      <c r="G13" s="37"/>
      <c r="H13" s="37"/>
      <c r="I13" s="22"/>
      <c r="J13" s="23">
        <f t="shared" si="1"/>
        <v>0</v>
      </c>
      <c r="K13" s="7"/>
      <c r="V13" s="5">
        <f t="shared" si="2"/>
        <v>0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52235</v>
      </c>
      <c r="K33" s="7"/>
      <c r="V33" s="5">
        <f>SUM(V6:V32)</f>
        <v>4</v>
      </c>
      <c r="W33" s="5">
        <f>SUM(W6:W32)</f>
        <v>0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3:H33"/>
    <mergeCell ref="M6:M7"/>
    <mergeCell ref="N6:N7"/>
    <mergeCell ref="O6:O7"/>
    <mergeCell ref="P6:P7"/>
    <mergeCell ref="Q6:Q7"/>
    <mergeCell ref="R6:R7"/>
  </mergeCells>
  <hyperlinks>
    <hyperlink ref="B33" r:id="rId1" xr:uid="{00000000-0004-0000-1800-000000000000}"/>
    <hyperlink ref="M1" location="MASTER!A1" display="Back" xr:uid="{00000000-0004-0000-1800-000001000000}"/>
  </hyperlinks>
  <pageMargins left="0" right="0" top="0" bottom="0" header="0" footer="0"/>
  <pageSetup paperSize="9" orientation="portrait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W34"/>
  <sheetViews>
    <sheetView workbookViewId="0">
      <selection activeCell="E31" sqref="E31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44166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4</v>
      </c>
      <c r="O4" s="108">
        <f>V33</f>
        <v>3</v>
      </c>
      <c r="P4" s="108">
        <f>W33</f>
        <v>1</v>
      </c>
      <c r="Q4" s="110">
        <f>N4-O4-P4</f>
        <v>0</v>
      </c>
      <c r="R4" s="94">
        <f>O4/N4</f>
        <v>0.75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44168</v>
      </c>
      <c r="D6" s="16" t="s">
        <v>18</v>
      </c>
      <c r="E6" s="16" t="s">
        <v>177</v>
      </c>
      <c r="F6" s="51">
        <v>65</v>
      </c>
      <c r="G6" s="51">
        <v>128</v>
      </c>
      <c r="H6" s="51">
        <v>63</v>
      </c>
      <c r="I6" s="17">
        <v>50</v>
      </c>
      <c r="J6" s="18">
        <f>H6*I6</f>
        <v>3150</v>
      </c>
      <c r="K6" s="7"/>
      <c r="M6" s="88" t="s">
        <v>19</v>
      </c>
      <c r="N6" s="90">
        <f>SUM(N4:N5)</f>
        <v>4</v>
      </c>
      <c r="O6" s="90">
        <f>SUM(O4:O5)</f>
        <v>3</v>
      </c>
      <c r="P6" s="90">
        <f>SUM(P4:P5)</f>
        <v>1</v>
      </c>
      <c r="Q6" s="92">
        <f>SUM(Q4:Q5)</f>
        <v>0</v>
      </c>
      <c r="R6" s="94">
        <f t="shared" ref="R6" si="0">O6/N6</f>
        <v>0.75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44175</v>
      </c>
      <c r="D7" s="21" t="s">
        <v>18</v>
      </c>
      <c r="E7" s="21" t="s">
        <v>176</v>
      </c>
      <c r="F7" s="37">
        <v>30</v>
      </c>
      <c r="G7" s="37">
        <v>43</v>
      </c>
      <c r="H7" s="37">
        <v>13</v>
      </c>
      <c r="I7" s="22">
        <v>50</v>
      </c>
      <c r="J7" s="23">
        <f t="shared" ref="J7:J32" si="1">H7*I7</f>
        <v>650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44176</v>
      </c>
      <c r="D8" s="21" t="s">
        <v>18</v>
      </c>
      <c r="E8" s="21" t="s">
        <v>178</v>
      </c>
      <c r="F8" s="37">
        <v>5</v>
      </c>
      <c r="G8" s="37">
        <v>11</v>
      </c>
      <c r="H8" s="37">
        <v>6</v>
      </c>
      <c r="I8" s="22">
        <v>7000</v>
      </c>
      <c r="J8" s="23">
        <f t="shared" si="1"/>
        <v>42000</v>
      </c>
      <c r="K8" s="7"/>
      <c r="M8" s="67" t="s">
        <v>20</v>
      </c>
      <c r="N8" s="68"/>
      <c r="O8" s="69"/>
      <c r="P8" s="76">
        <f>R6</f>
        <v>0.75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44182</v>
      </c>
      <c r="D9" s="21" t="s">
        <v>18</v>
      </c>
      <c r="E9" s="21" t="s">
        <v>179</v>
      </c>
      <c r="F9" s="37">
        <v>32</v>
      </c>
      <c r="G9" s="37">
        <v>0</v>
      </c>
      <c r="H9" s="37">
        <v>-32</v>
      </c>
      <c r="I9" s="22">
        <v>50</v>
      </c>
      <c r="J9" s="23">
        <f t="shared" si="1"/>
        <v>-1600</v>
      </c>
      <c r="K9" s="7"/>
      <c r="M9" s="70"/>
      <c r="N9" s="71"/>
      <c r="O9" s="72"/>
      <c r="P9" s="79"/>
      <c r="Q9" s="80"/>
      <c r="R9" s="81"/>
      <c r="V9" s="5">
        <f t="shared" si="2"/>
        <v>0</v>
      </c>
      <c r="W9" s="5">
        <f t="shared" si="3"/>
        <v>1</v>
      </c>
    </row>
    <row r="10" spans="1:23" ht="15" thickBot="1" x14ac:dyDescent="0.35">
      <c r="A10" s="6"/>
      <c r="B10" s="19">
        <v>5</v>
      </c>
      <c r="C10" s="20"/>
      <c r="D10" s="21"/>
      <c r="E10" s="21"/>
      <c r="F10" s="37"/>
      <c r="G10" s="37"/>
      <c r="H10" s="37"/>
      <c r="I10" s="22"/>
      <c r="J10" s="23">
        <f t="shared" si="1"/>
        <v>0</v>
      </c>
      <c r="K10" s="7"/>
      <c r="M10" s="73"/>
      <c r="N10" s="74"/>
      <c r="O10" s="75"/>
      <c r="P10" s="82"/>
      <c r="Q10" s="83"/>
      <c r="R10" s="84"/>
      <c r="V10" s="5">
        <f t="shared" si="2"/>
        <v>0</v>
      </c>
      <c r="W10" s="5">
        <f t="shared" si="3"/>
        <v>0</v>
      </c>
    </row>
    <row r="11" spans="1:23" x14ac:dyDescent="0.3">
      <c r="A11" s="6"/>
      <c r="B11" s="19">
        <v>6</v>
      </c>
      <c r="C11" s="20"/>
      <c r="D11" s="21"/>
      <c r="E11" s="21"/>
      <c r="F11" s="37"/>
      <c r="G11" s="37"/>
      <c r="H11" s="37"/>
      <c r="I11" s="22"/>
      <c r="J11" s="23">
        <f t="shared" si="1"/>
        <v>0</v>
      </c>
      <c r="K11" s="7"/>
      <c r="V11" s="5">
        <f t="shared" si="2"/>
        <v>0</v>
      </c>
      <c r="W11" s="5">
        <f t="shared" si="3"/>
        <v>0</v>
      </c>
    </row>
    <row r="12" spans="1:23" x14ac:dyDescent="0.3">
      <c r="A12" s="6"/>
      <c r="B12" s="19">
        <v>7</v>
      </c>
      <c r="C12" s="20"/>
      <c r="D12" s="21"/>
      <c r="E12" s="21"/>
      <c r="F12" s="37"/>
      <c r="G12" s="37"/>
      <c r="H12" s="37"/>
      <c r="I12" s="22"/>
      <c r="J12" s="23">
        <f t="shared" si="1"/>
        <v>0</v>
      </c>
      <c r="K12" s="7"/>
      <c r="V12" s="5">
        <f t="shared" si="2"/>
        <v>0</v>
      </c>
      <c r="W12" s="5">
        <f t="shared" si="3"/>
        <v>0</v>
      </c>
    </row>
    <row r="13" spans="1:23" x14ac:dyDescent="0.3">
      <c r="A13" s="6"/>
      <c r="B13" s="19">
        <v>8</v>
      </c>
      <c r="C13" s="20"/>
      <c r="D13" s="21"/>
      <c r="E13" s="21"/>
      <c r="F13" s="37"/>
      <c r="G13" s="37"/>
      <c r="H13" s="37"/>
      <c r="I13" s="22"/>
      <c r="J13" s="23">
        <f t="shared" si="1"/>
        <v>0</v>
      </c>
      <c r="K13" s="7"/>
      <c r="V13" s="5">
        <f t="shared" si="2"/>
        <v>0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44200</v>
      </c>
      <c r="K33" s="7"/>
      <c r="V33" s="5">
        <f>SUM(V6:V32)</f>
        <v>3</v>
      </c>
      <c r="W33" s="5">
        <f>SUM(W6:W32)</f>
        <v>1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00000000-0004-0000-1900-000000000000}"/>
    <hyperlink ref="M1" location="MASTER!A1" display="Back" xr:uid="{00000000-0004-0000-1900-000001000000}"/>
  </hyperlinks>
  <pageMargins left="0" right="0" top="0" bottom="0" header="0" footer="0"/>
  <pageSetup paperSize="9" orientation="portrait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W34"/>
  <sheetViews>
    <sheetView workbookViewId="0">
      <selection activeCell="O30" sqref="O30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44197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6</v>
      </c>
      <c r="O4" s="108">
        <f>V33</f>
        <v>6</v>
      </c>
      <c r="P4" s="108">
        <f>W33</f>
        <v>0</v>
      </c>
      <c r="Q4" s="110">
        <f>N4-O4-P4</f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44201</v>
      </c>
      <c r="D6" s="16" t="s">
        <v>18</v>
      </c>
      <c r="E6" s="16" t="s">
        <v>180</v>
      </c>
      <c r="F6" s="51">
        <v>130</v>
      </c>
      <c r="G6" s="51">
        <v>174</v>
      </c>
      <c r="H6" s="51">
        <v>44</v>
      </c>
      <c r="I6" s="17">
        <v>250</v>
      </c>
      <c r="J6" s="18">
        <f>H6*I6</f>
        <v>11000</v>
      </c>
      <c r="K6" s="7"/>
      <c r="M6" s="88" t="s">
        <v>19</v>
      </c>
      <c r="N6" s="90">
        <f>SUM(N4:N5)</f>
        <v>6</v>
      </c>
      <c r="O6" s="90">
        <f>SUM(O4:O5)</f>
        <v>6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44203</v>
      </c>
      <c r="D7" s="21" t="s">
        <v>18</v>
      </c>
      <c r="E7" s="21" t="s">
        <v>181</v>
      </c>
      <c r="F7" s="37">
        <v>18</v>
      </c>
      <c r="G7" s="37">
        <v>40</v>
      </c>
      <c r="H7" s="37">
        <v>22</v>
      </c>
      <c r="I7" s="22">
        <v>1250</v>
      </c>
      <c r="J7" s="23">
        <f t="shared" ref="J7:J32" si="1">H7*I7</f>
        <v>27500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44209</v>
      </c>
      <c r="D8" s="21" t="s">
        <v>18</v>
      </c>
      <c r="E8" s="21" t="s">
        <v>182</v>
      </c>
      <c r="F8" s="37">
        <v>150</v>
      </c>
      <c r="G8" s="37">
        <v>182</v>
      </c>
      <c r="H8" s="37">
        <v>32</v>
      </c>
      <c r="I8" s="22">
        <v>250</v>
      </c>
      <c r="J8" s="23">
        <f t="shared" si="1"/>
        <v>8000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44217</v>
      </c>
      <c r="D9" s="21" t="s">
        <v>18</v>
      </c>
      <c r="E9" s="21" t="s">
        <v>183</v>
      </c>
      <c r="F9" s="37">
        <v>11</v>
      </c>
      <c r="G9" s="37">
        <v>562</v>
      </c>
      <c r="H9" s="37">
        <v>551</v>
      </c>
      <c r="I9" s="22">
        <v>50</v>
      </c>
      <c r="J9" s="23">
        <f t="shared" si="1"/>
        <v>27550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44218</v>
      </c>
      <c r="D10" s="21" t="s">
        <v>18</v>
      </c>
      <c r="E10" s="21" t="s">
        <v>184</v>
      </c>
      <c r="F10" s="37">
        <v>300</v>
      </c>
      <c r="G10" s="37">
        <v>1100</v>
      </c>
      <c r="H10" s="37">
        <v>800</v>
      </c>
      <c r="I10" s="22">
        <v>50</v>
      </c>
      <c r="J10" s="23">
        <f t="shared" si="1"/>
        <v>40000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44224</v>
      </c>
      <c r="D11" s="21" t="s">
        <v>18</v>
      </c>
      <c r="E11" s="21" t="s">
        <v>185</v>
      </c>
      <c r="F11" s="37">
        <v>40</v>
      </c>
      <c r="G11" s="37">
        <v>65</v>
      </c>
      <c r="H11" s="37">
        <v>25</v>
      </c>
      <c r="I11" s="22">
        <v>50</v>
      </c>
      <c r="J11" s="23">
        <f t="shared" si="1"/>
        <v>1250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/>
      <c r="D12" s="21"/>
      <c r="E12" s="21"/>
      <c r="F12" s="37"/>
      <c r="G12" s="37"/>
      <c r="H12" s="37"/>
      <c r="I12" s="22"/>
      <c r="J12" s="23">
        <f t="shared" si="1"/>
        <v>0</v>
      </c>
      <c r="K12" s="7"/>
      <c r="V12" s="5">
        <f t="shared" si="2"/>
        <v>0</v>
      </c>
      <c r="W12" s="5">
        <f t="shared" si="3"/>
        <v>0</v>
      </c>
    </row>
    <row r="13" spans="1:23" x14ac:dyDescent="0.3">
      <c r="A13" s="6"/>
      <c r="B13" s="19">
        <v>8</v>
      </c>
      <c r="C13" s="20"/>
      <c r="D13" s="21"/>
      <c r="E13" s="21"/>
      <c r="F13" s="37"/>
      <c r="G13" s="37"/>
      <c r="H13" s="37"/>
      <c r="I13" s="22"/>
      <c r="J13" s="23">
        <f t="shared" si="1"/>
        <v>0</v>
      </c>
      <c r="K13" s="7"/>
      <c r="V13" s="5">
        <f t="shared" si="2"/>
        <v>0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115300</v>
      </c>
      <c r="K33" s="7"/>
      <c r="V33" s="5">
        <f>SUM(V6:V32)</f>
        <v>6</v>
      </c>
      <c r="W33" s="5">
        <f>SUM(W6:W32)</f>
        <v>0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00000000-0004-0000-1A00-000000000000}"/>
    <hyperlink ref="M1" location="MASTER!A1" display="Back" xr:uid="{00000000-0004-0000-1A00-000001000000}"/>
  </hyperlinks>
  <pageMargins left="0" right="0" top="0" bottom="0" header="0" footer="0"/>
  <pageSetup paperSize="9" orientation="portrait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W34"/>
  <sheetViews>
    <sheetView workbookViewId="0">
      <selection activeCell="E10" sqref="E10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44228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8</v>
      </c>
      <c r="O4" s="108">
        <f>V33</f>
        <v>7</v>
      </c>
      <c r="P4" s="108">
        <f>W33</f>
        <v>1</v>
      </c>
      <c r="Q4" s="110">
        <f>N4-O4-P4</f>
        <v>0</v>
      </c>
      <c r="R4" s="94">
        <f>O4/N4</f>
        <v>0.875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44228</v>
      </c>
      <c r="D6" s="16" t="s">
        <v>18</v>
      </c>
      <c r="E6" s="16" t="s">
        <v>186</v>
      </c>
      <c r="F6" s="51">
        <v>24</v>
      </c>
      <c r="G6" s="51">
        <v>273</v>
      </c>
      <c r="H6" s="51">
        <v>249</v>
      </c>
      <c r="I6" s="17">
        <v>150</v>
      </c>
      <c r="J6" s="18">
        <f>H6*I6</f>
        <v>37350</v>
      </c>
      <c r="K6" s="7"/>
      <c r="M6" s="88" t="s">
        <v>19</v>
      </c>
      <c r="N6" s="90">
        <f>SUM(N4:N5)</f>
        <v>8</v>
      </c>
      <c r="O6" s="90">
        <f>SUM(O4:O5)</f>
        <v>7</v>
      </c>
      <c r="P6" s="90">
        <f>SUM(P4:P5)</f>
        <v>1</v>
      </c>
      <c r="Q6" s="92">
        <f>SUM(Q4:Q5)</f>
        <v>0</v>
      </c>
      <c r="R6" s="94">
        <f t="shared" ref="R6" si="0">O6/N6</f>
        <v>0.875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44229</v>
      </c>
      <c r="D7" s="21" t="s">
        <v>18</v>
      </c>
      <c r="E7" s="21" t="s">
        <v>187</v>
      </c>
      <c r="F7" s="37">
        <v>60</v>
      </c>
      <c r="G7" s="37">
        <v>82.5</v>
      </c>
      <c r="H7" s="37">
        <v>22.5</v>
      </c>
      <c r="I7" s="22">
        <v>200</v>
      </c>
      <c r="J7" s="23">
        <f t="shared" ref="J7:J32" si="1">H7*I7</f>
        <v>4500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44236</v>
      </c>
      <c r="D8" s="21" t="s">
        <v>18</v>
      </c>
      <c r="E8" s="21" t="s">
        <v>188</v>
      </c>
      <c r="F8" s="37">
        <v>42</v>
      </c>
      <c r="G8" s="37">
        <v>50</v>
      </c>
      <c r="H8" s="37">
        <v>8</v>
      </c>
      <c r="I8" s="22">
        <v>300</v>
      </c>
      <c r="J8" s="23">
        <f t="shared" si="1"/>
        <v>2400</v>
      </c>
      <c r="K8" s="7"/>
      <c r="M8" s="67" t="s">
        <v>20</v>
      </c>
      <c r="N8" s="68"/>
      <c r="O8" s="69"/>
      <c r="P8" s="76">
        <f>R6</f>
        <v>0.875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44237</v>
      </c>
      <c r="D9" s="21" t="s">
        <v>18</v>
      </c>
      <c r="E9" s="21" t="s">
        <v>189</v>
      </c>
      <c r="F9" s="37">
        <v>145</v>
      </c>
      <c r="G9" s="37">
        <v>294</v>
      </c>
      <c r="H9" s="37">
        <v>149</v>
      </c>
      <c r="I9" s="22">
        <v>250</v>
      </c>
      <c r="J9" s="23">
        <f t="shared" si="1"/>
        <v>37250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44238</v>
      </c>
      <c r="D10" s="21" t="s">
        <v>18</v>
      </c>
      <c r="E10" s="21" t="s">
        <v>190</v>
      </c>
      <c r="F10" s="37">
        <v>30</v>
      </c>
      <c r="G10" s="37">
        <v>0</v>
      </c>
      <c r="H10" s="37">
        <v>-30</v>
      </c>
      <c r="I10" s="22">
        <v>50</v>
      </c>
      <c r="J10" s="23">
        <f t="shared" si="1"/>
        <v>-1500</v>
      </c>
      <c r="K10" s="7"/>
      <c r="M10" s="73"/>
      <c r="N10" s="74"/>
      <c r="O10" s="75"/>
      <c r="P10" s="82"/>
      <c r="Q10" s="83"/>
      <c r="R10" s="84"/>
      <c r="V10" s="5">
        <f t="shared" si="2"/>
        <v>0</v>
      </c>
      <c r="W10" s="5">
        <f t="shared" si="3"/>
        <v>1</v>
      </c>
    </row>
    <row r="11" spans="1:23" x14ac:dyDescent="0.3">
      <c r="A11" s="6"/>
      <c r="B11" s="19">
        <v>6</v>
      </c>
      <c r="C11" s="20">
        <v>44244</v>
      </c>
      <c r="D11" s="21" t="s">
        <v>18</v>
      </c>
      <c r="E11" s="21" t="s">
        <v>191</v>
      </c>
      <c r="F11" s="37">
        <v>4.5</v>
      </c>
      <c r="G11" s="37">
        <v>10.35</v>
      </c>
      <c r="H11" s="37">
        <v>5.85</v>
      </c>
      <c r="I11" s="22">
        <v>6200</v>
      </c>
      <c r="J11" s="23">
        <f t="shared" si="1"/>
        <v>36270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44245</v>
      </c>
      <c r="D12" s="21" t="s">
        <v>18</v>
      </c>
      <c r="E12" s="21" t="s">
        <v>192</v>
      </c>
      <c r="F12" s="37">
        <v>25</v>
      </c>
      <c r="G12" s="37">
        <v>40</v>
      </c>
      <c r="H12" s="37">
        <v>15</v>
      </c>
      <c r="I12" s="22">
        <v>50</v>
      </c>
      <c r="J12" s="23">
        <f t="shared" si="1"/>
        <v>750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44252</v>
      </c>
      <c r="D13" s="21" t="s">
        <v>18</v>
      </c>
      <c r="E13" s="21" t="s">
        <v>193</v>
      </c>
      <c r="F13" s="37">
        <v>50</v>
      </c>
      <c r="G13" s="37">
        <v>75</v>
      </c>
      <c r="H13" s="37">
        <v>25</v>
      </c>
      <c r="I13" s="22">
        <v>50</v>
      </c>
      <c r="J13" s="23">
        <f t="shared" si="1"/>
        <v>1250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118270</v>
      </c>
      <c r="K33" s="7"/>
      <c r="V33" s="5">
        <f>SUM(V6:V32)</f>
        <v>7</v>
      </c>
      <c r="W33" s="5">
        <f>SUM(W6:W32)</f>
        <v>1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00000000-0004-0000-1B00-000000000000}"/>
    <hyperlink ref="M1" location="MASTER!A1" display="Back" xr:uid="{00000000-0004-0000-1B00-000001000000}"/>
  </hyperlinks>
  <pageMargins left="0" right="0" top="0" bottom="0" header="0" footer="0"/>
  <pageSetup paperSize="9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W34"/>
  <sheetViews>
    <sheetView workbookViewId="0">
      <selection activeCell="N28" sqref="N28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44256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9</v>
      </c>
      <c r="O4" s="108">
        <f>V33</f>
        <v>9</v>
      </c>
      <c r="P4" s="108">
        <f>W33</f>
        <v>0</v>
      </c>
      <c r="Q4" s="110">
        <f>N4-O4-P4</f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44257</v>
      </c>
      <c r="D6" s="16" t="s">
        <v>18</v>
      </c>
      <c r="E6" s="16" t="s">
        <v>194</v>
      </c>
      <c r="F6" s="51">
        <v>23</v>
      </c>
      <c r="G6" s="51">
        <v>33</v>
      </c>
      <c r="H6" s="51">
        <v>10</v>
      </c>
      <c r="I6" s="17">
        <v>5700</v>
      </c>
      <c r="J6" s="18">
        <f>H6*I6</f>
        <v>57000</v>
      </c>
      <c r="K6" s="7"/>
      <c r="M6" s="88" t="s">
        <v>19</v>
      </c>
      <c r="N6" s="90">
        <f>SUM(N4:N5)</f>
        <v>9</v>
      </c>
      <c r="O6" s="90">
        <f>SUM(O4:O5)</f>
        <v>9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44259</v>
      </c>
      <c r="D7" s="21" t="s">
        <v>18</v>
      </c>
      <c r="E7" s="21" t="s">
        <v>195</v>
      </c>
      <c r="F7" s="37">
        <v>30</v>
      </c>
      <c r="G7" s="37">
        <v>73</v>
      </c>
      <c r="H7" s="37">
        <v>43</v>
      </c>
      <c r="I7" s="22">
        <v>50</v>
      </c>
      <c r="J7" s="23">
        <f t="shared" ref="J7:J32" si="1">H7*I7</f>
        <v>2150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44264</v>
      </c>
      <c r="D8" s="21" t="s">
        <v>18</v>
      </c>
      <c r="E8" s="21" t="s">
        <v>196</v>
      </c>
      <c r="F8" s="37">
        <v>15</v>
      </c>
      <c r="G8" s="37">
        <v>21.9</v>
      </c>
      <c r="H8" s="37">
        <v>6.9</v>
      </c>
      <c r="I8" s="22">
        <v>1375</v>
      </c>
      <c r="J8" s="23">
        <f t="shared" si="1"/>
        <v>9487.5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44265</v>
      </c>
      <c r="D9" s="21" t="s">
        <v>18</v>
      </c>
      <c r="E9" s="21" t="s">
        <v>199</v>
      </c>
      <c r="F9" s="37">
        <v>35</v>
      </c>
      <c r="G9" s="37">
        <v>68</v>
      </c>
      <c r="H9" s="37">
        <v>33</v>
      </c>
      <c r="I9" s="22">
        <v>50</v>
      </c>
      <c r="J9" s="23">
        <f t="shared" si="1"/>
        <v>1650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44265</v>
      </c>
      <c r="D10" s="21" t="s">
        <v>18</v>
      </c>
      <c r="E10" s="21" t="s">
        <v>200</v>
      </c>
      <c r="F10" s="37">
        <v>30</v>
      </c>
      <c r="G10" s="37">
        <v>73</v>
      </c>
      <c r="H10" s="37">
        <v>43</v>
      </c>
      <c r="I10" s="22">
        <v>50</v>
      </c>
      <c r="J10" s="23">
        <f t="shared" si="1"/>
        <v>2150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44270</v>
      </c>
      <c r="D11" s="21" t="s">
        <v>18</v>
      </c>
      <c r="E11" s="21" t="s">
        <v>197</v>
      </c>
      <c r="F11" s="37">
        <v>37</v>
      </c>
      <c r="G11" s="37">
        <v>50.5</v>
      </c>
      <c r="H11" s="37">
        <v>13.5</v>
      </c>
      <c r="I11" s="22">
        <v>250</v>
      </c>
      <c r="J11" s="23">
        <f t="shared" si="1"/>
        <v>3375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44273</v>
      </c>
      <c r="D12" s="21" t="s">
        <v>18</v>
      </c>
      <c r="E12" s="21" t="s">
        <v>198</v>
      </c>
      <c r="F12" s="37">
        <v>20</v>
      </c>
      <c r="G12" s="37">
        <v>398</v>
      </c>
      <c r="H12" s="37">
        <v>378</v>
      </c>
      <c r="I12" s="22">
        <v>50</v>
      </c>
      <c r="J12" s="23">
        <f t="shared" si="1"/>
        <v>18900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44279</v>
      </c>
      <c r="D13" s="21" t="s">
        <v>18</v>
      </c>
      <c r="E13" s="21" t="s">
        <v>201</v>
      </c>
      <c r="F13" s="37">
        <v>2.5</v>
      </c>
      <c r="G13" s="37">
        <v>14.25</v>
      </c>
      <c r="H13" s="37">
        <v>11.75</v>
      </c>
      <c r="I13" s="22">
        <v>3000</v>
      </c>
      <c r="J13" s="23">
        <f t="shared" si="1"/>
        <v>35250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44280</v>
      </c>
      <c r="D14" s="21" t="s">
        <v>18</v>
      </c>
      <c r="E14" s="21" t="s">
        <v>202</v>
      </c>
      <c r="F14" s="37">
        <v>25</v>
      </c>
      <c r="G14" s="37">
        <v>112</v>
      </c>
      <c r="H14" s="37">
        <v>87</v>
      </c>
      <c r="I14" s="22">
        <v>50</v>
      </c>
      <c r="J14" s="23">
        <f t="shared" si="1"/>
        <v>4350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134312.5</v>
      </c>
      <c r="K33" s="7"/>
      <c r="V33" s="5">
        <f>SUM(V6:V32)</f>
        <v>9</v>
      </c>
      <c r="W33" s="5">
        <f>SUM(W6:W32)</f>
        <v>0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3:H33"/>
    <mergeCell ref="M6:M7"/>
    <mergeCell ref="N6:N7"/>
    <mergeCell ref="O6:O7"/>
    <mergeCell ref="P6:P7"/>
    <mergeCell ref="Q6:Q7"/>
    <mergeCell ref="R6:R7"/>
  </mergeCells>
  <hyperlinks>
    <hyperlink ref="B33" r:id="rId1" xr:uid="{00000000-0004-0000-1C00-000000000000}"/>
    <hyperlink ref="M1" location="MASTER!A1" display="Back" xr:uid="{00000000-0004-0000-1C00-000001000000}"/>
  </hyperlinks>
  <pageMargins left="0" right="0" top="0" bottom="0" header="0" footer="0"/>
  <pageSetup paperSize="9" orientation="portrait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W34"/>
  <sheetViews>
    <sheetView workbookViewId="0">
      <selection activeCell="M30" sqref="M30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44287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10</v>
      </c>
      <c r="O4" s="108">
        <f>V33</f>
        <v>8</v>
      </c>
      <c r="P4" s="108">
        <f>W33</f>
        <v>2</v>
      </c>
      <c r="Q4" s="110">
        <f>N4-O4-P4</f>
        <v>0</v>
      </c>
      <c r="R4" s="94">
        <f>O4/N4</f>
        <v>0.8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44287</v>
      </c>
      <c r="D6" s="16" t="s">
        <v>18</v>
      </c>
      <c r="E6" s="16" t="s">
        <v>203</v>
      </c>
      <c r="F6" s="51">
        <v>35</v>
      </c>
      <c r="G6" s="51">
        <v>45</v>
      </c>
      <c r="H6" s="51">
        <v>10</v>
      </c>
      <c r="I6" s="17">
        <v>50</v>
      </c>
      <c r="J6" s="18">
        <f>H6*I6</f>
        <v>500</v>
      </c>
      <c r="K6" s="7"/>
      <c r="M6" s="88" t="s">
        <v>19</v>
      </c>
      <c r="N6" s="90">
        <f>SUM(N4:N5)</f>
        <v>10</v>
      </c>
      <c r="O6" s="90">
        <f>SUM(O4:O5)</f>
        <v>8</v>
      </c>
      <c r="P6" s="90">
        <f>SUM(P4:P5)</f>
        <v>2</v>
      </c>
      <c r="Q6" s="92">
        <f>SUM(Q4:Q5)</f>
        <v>0</v>
      </c>
      <c r="R6" s="94">
        <f t="shared" ref="R6" si="0">O6/N6</f>
        <v>0.8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44291</v>
      </c>
      <c r="D7" s="21" t="s">
        <v>18</v>
      </c>
      <c r="E7" s="21" t="s">
        <v>204</v>
      </c>
      <c r="F7" s="37">
        <v>2.2000000000000002</v>
      </c>
      <c r="G7" s="37">
        <v>3.95</v>
      </c>
      <c r="H7" s="37">
        <v>1.75</v>
      </c>
      <c r="I7" s="22">
        <v>7600</v>
      </c>
      <c r="J7" s="23">
        <f t="shared" ref="J7:J32" si="1">H7*I7</f>
        <v>13300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44292</v>
      </c>
      <c r="D8" s="21" t="s">
        <v>18</v>
      </c>
      <c r="E8" s="21" t="s">
        <v>205</v>
      </c>
      <c r="F8" s="37">
        <v>30</v>
      </c>
      <c r="G8" s="37">
        <v>116</v>
      </c>
      <c r="H8" s="37">
        <v>86</v>
      </c>
      <c r="I8" s="22">
        <v>75</v>
      </c>
      <c r="J8" s="23">
        <f t="shared" si="1"/>
        <v>6450</v>
      </c>
      <c r="K8" s="7"/>
      <c r="M8" s="67" t="s">
        <v>20</v>
      </c>
      <c r="N8" s="68"/>
      <c r="O8" s="69"/>
      <c r="P8" s="76">
        <f>R6</f>
        <v>0.8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44294</v>
      </c>
      <c r="D9" s="21" t="s">
        <v>18</v>
      </c>
      <c r="E9" s="21" t="s">
        <v>206</v>
      </c>
      <c r="F9" s="37">
        <v>20</v>
      </c>
      <c r="G9" s="37">
        <v>48</v>
      </c>
      <c r="H9" s="37">
        <v>28</v>
      </c>
      <c r="I9" s="22">
        <v>75</v>
      </c>
      <c r="J9" s="23">
        <f t="shared" si="1"/>
        <v>2100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44298</v>
      </c>
      <c r="D10" s="21" t="s">
        <v>18</v>
      </c>
      <c r="E10" s="21" t="s">
        <v>207</v>
      </c>
      <c r="F10" s="37">
        <v>3.8</v>
      </c>
      <c r="G10" s="37">
        <v>4.9000000000000004</v>
      </c>
      <c r="H10" s="37">
        <v>1.1000000000000001</v>
      </c>
      <c r="I10" s="22">
        <v>2900</v>
      </c>
      <c r="J10" s="23">
        <f t="shared" si="1"/>
        <v>3190.0000000000005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44301</v>
      </c>
      <c r="D11" s="21" t="s">
        <v>18</v>
      </c>
      <c r="E11" s="21" t="s">
        <v>208</v>
      </c>
      <c r="F11" s="37">
        <v>25</v>
      </c>
      <c r="G11" s="37">
        <v>63.95</v>
      </c>
      <c r="H11" s="37">
        <v>38.950000000000003</v>
      </c>
      <c r="I11" s="22">
        <v>50</v>
      </c>
      <c r="J11" s="23">
        <f t="shared" si="1"/>
        <v>1947.5000000000002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44308</v>
      </c>
      <c r="D12" s="21" t="s">
        <v>18</v>
      </c>
      <c r="E12" s="21" t="s">
        <v>209</v>
      </c>
      <c r="F12" s="37">
        <v>25</v>
      </c>
      <c r="G12" s="37">
        <v>32</v>
      </c>
      <c r="H12" s="37">
        <v>7</v>
      </c>
      <c r="I12" s="22">
        <v>50</v>
      </c>
      <c r="J12" s="23">
        <f t="shared" si="1"/>
        <v>350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44313</v>
      </c>
      <c r="D13" s="21" t="s">
        <v>18</v>
      </c>
      <c r="E13" s="21" t="s">
        <v>210</v>
      </c>
      <c r="F13" s="37">
        <v>65</v>
      </c>
      <c r="G13" s="37">
        <v>10</v>
      </c>
      <c r="H13" s="37">
        <f>G13-F13</f>
        <v>-55</v>
      </c>
      <c r="I13" s="22">
        <v>75</v>
      </c>
      <c r="J13" s="23">
        <f t="shared" si="1"/>
        <v>-4125</v>
      </c>
      <c r="K13" s="7"/>
      <c r="V13" s="5">
        <f t="shared" si="2"/>
        <v>0</v>
      </c>
      <c r="W13" s="5">
        <f t="shared" si="3"/>
        <v>1</v>
      </c>
    </row>
    <row r="14" spans="1:23" x14ac:dyDescent="0.3">
      <c r="A14" s="6"/>
      <c r="B14" s="19">
        <v>9</v>
      </c>
      <c r="C14" s="20">
        <v>44313</v>
      </c>
      <c r="D14" s="21" t="s">
        <v>211</v>
      </c>
      <c r="E14" s="21" t="s">
        <v>212</v>
      </c>
      <c r="F14" s="37">
        <v>46</v>
      </c>
      <c r="G14" s="37">
        <v>20</v>
      </c>
      <c r="H14" s="37">
        <v>-26</v>
      </c>
      <c r="I14" s="22">
        <v>250</v>
      </c>
      <c r="J14" s="23">
        <f t="shared" si="1"/>
        <v>-6500</v>
      </c>
      <c r="K14" s="7"/>
      <c r="M14" s="5" t="s">
        <v>21</v>
      </c>
      <c r="V14" s="5">
        <f t="shared" si="2"/>
        <v>0</v>
      </c>
      <c r="W14" s="5">
        <f t="shared" si="3"/>
        <v>1</v>
      </c>
    </row>
    <row r="15" spans="1:23" x14ac:dyDescent="0.3">
      <c r="A15" s="6"/>
      <c r="B15" s="19">
        <v>10</v>
      </c>
      <c r="C15" s="20">
        <v>44315</v>
      </c>
      <c r="D15" s="21" t="s">
        <v>18</v>
      </c>
      <c r="E15" s="21" t="s">
        <v>213</v>
      </c>
      <c r="F15" s="37">
        <v>20</v>
      </c>
      <c r="G15" s="37">
        <v>30.5</v>
      </c>
      <c r="H15" s="37">
        <v>10.5</v>
      </c>
      <c r="I15" s="22">
        <v>50</v>
      </c>
      <c r="J15" s="23">
        <f t="shared" si="1"/>
        <v>525</v>
      </c>
      <c r="K15" s="7"/>
      <c r="V15" s="5">
        <f>IF($J15&gt;0,1,0)</f>
        <v>1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17737.5</v>
      </c>
      <c r="K33" s="7"/>
      <c r="V33" s="5">
        <f>SUM(V6:V32)</f>
        <v>8</v>
      </c>
      <c r="W33" s="5">
        <f>SUM(W6:W32)</f>
        <v>2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00000000-0004-0000-1D00-000000000000}"/>
    <hyperlink ref="M1" location="MASTER!A1" display="Back" xr:uid="{00000000-0004-0000-1D00-000001000000}"/>
  </hyperlinks>
  <pageMargins left="0" right="0" top="0" bottom="0" header="0" footer="0"/>
  <pageSetup paperSize="9" orientation="portrait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W34"/>
  <sheetViews>
    <sheetView workbookViewId="0">
      <selection activeCell="M14" sqref="M14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44317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8</v>
      </c>
      <c r="O4" s="108">
        <f>V33</f>
        <v>8</v>
      </c>
      <c r="P4" s="108">
        <f>W33</f>
        <v>0</v>
      </c>
      <c r="Q4" s="110">
        <f>N4-O4-P4</f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44320</v>
      </c>
      <c r="D6" s="16" t="s">
        <v>18</v>
      </c>
      <c r="E6" s="16" t="s">
        <v>214</v>
      </c>
      <c r="F6" s="51">
        <v>18</v>
      </c>
      <c r="G6" s="51">
        <v>27.5</v>
      </c>
      <c r="H6" s="51">
        <f>27.5-18</f>
        <v>9.5</v>
      </c>
      <c r="I6" s="17">
        <v>600</v>
      </c>
      <c r="J6" s="18">
        <f>H6*I6</f>
        <v>5700</v>
      </c>
      <c r="K6" s="7"/>
      <c r="M6" s="88" t="s">
        <v>19</v>
      </c>
      <c r="N6" s="90">
        <f>SUM(N4:N5)</f>
        <v>8</v>
      </c>
      <c r="O6" s="90">
        <f>SUM(O4:O5)</f>
        <v>8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44322</v>
      </c>
      <c r="D7" s="21" t="s">
        <v>18</v>
      </c>
      <c r="E7" s="21" t="s">
        <v>216</v>
      </c>
      <c r="F7" s="37">
        <v>25</v>
      </c>
      <c r="G7" s="37">
        <v>42</v>
      </c>
      <c r="H7" s="37">
        <f>42-25</f>
        <v>17</v>
      </c>
      <c r="I7" s="22">
        <v>50</v>
      </c>
      <c r="J7" s="23">
        <f t="shared" ref="J7:J32" si="1">H7*I7</f>
        <v>850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44326</v>
      </c>
      <c r="D8" s="21" t="s">
        <v>18</v>
      </c>
      <c r="E8" s="21" t="s">
        <v>215</v>
      </c>
      <c r="F8" s="37">
        <v>5</v>
      </c>
      <c r="G8" s="37">
        <v>12</v>
      </c>
      <c r="H8" s="37">
        <v>7</v>
      </c>
      <c r="I8" s="22">
        <v>3100</v>
      </c>
      <c r="J8" s="23">
        <f t="shared" si="1"/>
        <v>21700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44328</v>
      </c>
      <c r="D9" s="21" t="s">
        <v>18</v>
      </c>
      <c r="E9" s="21" t="s">
        <v>217</v>
      </c>
      <c r="F9" s="37">
        <v>30</v>
      </c>
      <c r="G9" s="37">
        <v>75</v>
      </c>
      <c r="H9" s="37">
        <f>75-30</f>
        <v>45</v>
      </c>
      <c r="I9" s="22">
        <v>50</v>
      </c>
      <c r="J9" s="23">
        <f t="shared" si="1"/>
        <v>2250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44334</v>
      </c>
      <c r="D10" s="21" t="s">
        <v>18</v>
      </c>
      <c r="E10" s="21" t="s">
        <v>218</v>
      </c>
      <c r="F10" s="37">
        <v>110</v>
      </c>
      <c r="G10" s="37">
        <v>135</v>
      </c>
      <c r="H10" s="37">
        <f>135-110</f>
        <v>25</v>
      </c>
      <c r="I10" s="22">
        <v>250</v>
      </c>
      <c r="J10" s="23">
        <f t="shared" si="1"/>
        <v>6250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44336</v>
      </c>
      <c r="D11" s="21" t="s">
        <v>18</v>
      </c>
      <c r="E11" s="21" t="s">
        <v>219</v>
      </c>
      <c r="F11" s="37">
        <v>35</v>
      </c>
      <c r="G11" s="37">
        <v>234</v>
      </c>
      <c r="H11" s="37">
        <f>234-35</f>
        <v>199</v>
      </c>
      <c r="I11" s="22">
        <v>50</v>
      </c>
      <c r="J11" s="23">
        <f t="shared" si="1"/>
        <v>9950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44343</v>
      </c>
      <c r="D12" s="21" t="s">
        <v>18</v>
      </c>
      <c r="E12" s="21" t="s">
        <v>220</v>
      </c>
      <c r="F12" s="37">
        <v>10</v>
      </c>
      <c r="G12" s="37">
        <v>14.6</v>
      </c>
      <c r="H12" s="37">
        <v>4.5999999999999996</v>
      </c>
      <c r="I12" s="22">
        <v>300</v>
      </c>
      <c r="J12" s="23">
        <f t="shared" si="1"/>
        <v>1380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44343</v>
      </c>
      <c r="D13" s="21" t="s">
        <v>18</v>
      </c>
      <c r="E13" s="21" t="s">
        <v>221</v>
      </c>
      <c r="F13" s="37">
        <v>30</v>
      </c>
      <c r="G13" s="37">
        <v>41.65</v>
      </c>
      <c r="H13" s="37">
        <v>11.65</v>
      </c>
      <c r="I13" s="22">
        <v>50</v>
      </c>
      <c r="J13" s="23">
        <f t="shared" si="1"/>
        <v>582.5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48662.5</v>
      </c>
      <c r="K33" s="7"/>
      <c r="V33" s="5">
        <f>SUM(V6:V32)</f>
        <v>8</v>
      </c>
      <c r="W33" s="5">
        <f>SUM(W6:W32)</f>
        <v>0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00000000-0004-0000-1E00-000000000000}"/>
    <hyperlink ref="M1" location="MASTER!A1" display="Back" xr:uid="{00000000-0004-0000-1E00-000001000000}"/>
  </hyperlinks>
  <pageMargins left="0" right="0" top="0" bottom="0" header="0" footer="0"/>
  <pageSetup paperSize="9" orientation="portrait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W34"/>
  <sheetViews>
    <sheetView workbookViewId="0">
      <selection activeCell="P4" sqref="P4:P5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44348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9</v>
      </c>
      <c r="O4" s="108">
        <f>V33</f>
        <v>8</v>
      </c>
      <c r="P4" s="108">
        <f>W33</f>
        <v>1</v>
      </c>
      <c r="Q4" s="110">
        <f>N4-O4-P4</f>
        <v>0</v>
      </c>
      <c r="R4" s="94">
        <f>O4/N4</f>
        <v>0.88888888888888884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44348</v>
      </c>
      <c r="D6" s="16" t="s">
        <v>18</v>
      </c>
      <c r="E6" s="16" t="s">
        <v>218</v>
      </c>
      <c r="F6" s="51">
        <v>125</v>
      </c>
      <c r="G6" s="51">
        <v>133</v>
      </c>
      <c r="H6" s="51">
        <v>8</v>
      </c>
      <c r="I6" s="17">
        <v>125</v>
      </c>
      <c r="J6" s="18">
        <f>H6*I6</f>
        <v>1000</v>
      </c>
      <c r="K6" s="7"/>
      <c r="M6" s="88" t="s">
        <v>19</v>
      </c>
      <c r="N6" s="90">
        <f>SUM(N4:N5)</f>
        <v>9</v>
      </c>
      <c r="O6" s="90">
        <f>SUM(O4:O5)</f>
        <v>8</v>
      </c>
      <c r="P6" s="90">
        <f>SUM(P4:P5)</f>
        <v>1</v>
      </c>
      <c r="Q6" s="92">
        <f>SUM(Q4:Q5)</f>
        <v>0</v>
      </c>
      <c r="R6" s="94">
        <f t="shared" ref="R6" si="0">O6/N6</f>
        <v>0.88888888888888884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44350</v>
      </c>
      <c r="D7" s="21" t="s">
        <v>18</v>
      </c>
      <c r="E7" s="21" t="s">
        <v>222</v>
      </c>
      <c r="F7" s="37">
        <v>18</v>
      </c>
      <c r="G7" s="37">
        <v>50</v>
      </c>
      <c r="H7" s="37">
        <f>50-18</f>
        <v>32</v>
      </c>
      <c r="I7" s="22">
        <v>50</v>
      </c>
      <c r="J7" s="23">
        <f t="shared" ref="J7:J32" si="1">H7*I7</f>
        <v>1600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44355</v>
      </c>
      <c r="D8" s="21" t="s">
        <v>18</v>
      </c>
      <c r="E8" s="21" t="s">
        <v>223</v>
      </c>
      <c r="F8" s="37">
        <v>20</v>
      </c>
      <c r="G8" s="37">
        <v>45</v>
      </c>
      <c r="H8" s="37">
        <f>45-20</f>
        <v>25</v>
      </c>
      <c r="I8" s="22">
        <v>600</v>
      </c>
      <c r="J8" s="23">
        <f t="shared" si="1"/>
        <v>15000</v>
      </c>
      <c r="K8" s="7"/>
      <c r="M8" s="67" t="s">
        <v>20</v>
      </c>
      <c r="N8" s="68"/>
      <c r="O8" s="69"/>
      <c r="P8" s="76">
        <f>R6</f>
        <v>0.88888888888888884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44357</v>
      </c>
      <c r="D9" s="21" t="s">
        <v>18</v>
      </c>
      <c r="E9" s="21" t="s">
        <v>221</v>
      </c>
      <c r="F9" s="37">
        <v>25</v>
      </c>
      <c r="G9" s="37">
        <v>43</v>
      </c>
      <c r="H9" s="37">
        <f>43-25</f>
        <v>18</v>
      </c>
      <c r="I9" s="22">
        <v>50</v>
      </c>
      <c r="J9" s="23">
        <f t="shared" si="1"/>
        <v>900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44361</v>
      </c>
      <c r="D10" s="21" t="s">
        <v>18</v>
      </c>
      <c r="E10" s="21" t="s">
        <v>224</v>
      </c>
      <c r="F10" s="37">
        <v>25</v>
      </c>
      <c r="G10" s="37">
        <v>39</v>
      </c>
      <c r="H10" s="37">
        <f>39-25</f>
        <v>14</v>
      </c>
      <c r="I10" s="22">
        <v>1200</v>
      </c>
      <c r="J10" s="23">
        <f t="shared" si="1"/>
        <v>16800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44362</v>
      </c>
      <c r="D11" s="21" t="s">
        <v>18</v>
      </c>
      <c r="E11" s="21" t="s">
        <v>225</v>
      </c>
      <c r="F11" s="37">
        <v>6</v>
      </c>
      <c r="G11" s="37">
        <v>2.5</v>
      </c>
      <c r="H11" s="37">
        <v>-3.5</v>
      </c>
      <c r="I11" s="22">
        <v>75</v>
      </c>
      <c r="J11" s="23">
        <f t="shared" si="1"/>
        <v>-262.5</v>
      </c>
      <c r="K11" s="7"/>
      <c r="V11" s="5">
        <f t="shared" si="2"/>
        <v>0</v>
      </c>
      <c r="W11" s="5">
        <f t="shared" si="3"/>
        <v>1</v>
      </c>
    </row>
    <row r="12" spans="1:23" x14ac:dyDescent="0.3">
      <c r="A12" s="6"/>
      <c r="B12" s="19">
        <v>7</v>
      </c>
      <c r="C12" s="20">
        <v>44364</v>
      </c>
      <c r="D12" s="21" t="s">
        <v>18</v>
      </c>
      <c r="E12" s="21" t="s">
        <v>226</v>
      </c>
      <c r="F12" s="37">
        <v>25</v>
      </c>
      <c r="G12" s="37">
        <v>163</v>
      </c>
      <c r="H12" s="37">
        <f>163-25</f>
        <v>138</v>
      </c>
      <c r="I12" s="22">
        <v>50</v>
      </c>
      <c r="J12" s="23">
        <f t="shared" si="1"/>
        <v>6900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44365</v>
      </c>
      <c r="D13" s="21" t="s">
        <v>18</v>
      </c>
      <c r="E13" s="21" t="s">
        <v>227</v>
      </c>
      <c r="F13" s="37">
        <v>120</v>
      </c>
      <c r="G13" s="37">
        <v>141</v>
      </c>
      <c r="H13" s="37">
        <f>141-120</f>
        <v>21</v>
      </c>
      <c r="I13" s="22">
        <v>75</v>
      </c>
      <c r="J13" s="23">
        <f t="shared" si="1"/>
        <v>1575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44371</v>
      </c>
      <c r="D14" s="21" t="s">
        <v>18</v>
      </c>
      <c r="E14" s="21" t="s">
        <v>228</v>
      </c>
      <c r="F14" s="37">
        <v>4</v>
      </c>
      <c r="G14" s="37">
        <v>11</v>
      </c>
      <c r="H14" s="37">
        <v>7</v>
      </c>
      <c r="I14" s="22">
        <v>75</v>
      </c>
      <c r="J14" s="23">
        <f t="shared" si="1"/>
        <v>525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44037.5</v>
      </c>
      <c r="K33" s="7"/>
      <c r="V33" s="5">
        <f>SUM(V6:V32)</f>
        <v>8</v>
      </c>
      <c r="W33" s="5">
        <f>SUM(W6:W32)</f>
        <v>1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00000000-0004-0000-1F00-000000000000}"/>
    <hyperlink ref="M1" location="MASTER!A1" display="Back" xr:uid="{00000000-0004-0000-1F00-000001000000}"/>
  </hyperlinks>
  <pageMargins left="0" right="0" top="0" bottom="0" header="0" footer="0"/>
  <pageSetup paperSize="9" orientation="portrait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W34"/>
  <sheetViews>
    <sheetView workbookViewId="0">
      <selection activeCell="N28" sqref="N28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44378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8</v>
      </c>
      <c r="O4" s="108">
        <f>V33</f>
        <v>7</v>
      </c>
      <c r="P4" s="108">
        <f>W33</f>
        <v>1</v>
      </c>
      <c r="Q4" s="110">
        <f>N4-O4-P4</f>
        <v>0</v>
      </c>
      <c r="R4" s="94">
        <f>O4/N4</f>
        <v>0.875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44378</v>
      </c>
      <c r="D6" s="16" t="s">
        <v>18</v>
      </c>
      <c r="E6" s="16" t="s">
        <v>229</v>
      </c>
      <c r="F6" s="51">
        <v>25</v>
      </c>
      <c r="G6" s="51">
        <v>49</v>
      </c>
      <c r="H6" s="51">
        <v>24</v>
      </c>
      <c r="I6" s="17">
        <v>50</v>
      </c>
      <c r="J6" s="18">
        <v>1200</v>
      </c>
      <c r="K6" s="7"/>
      <c r="M6" s="88" t="s">
        <v>19</v>
      </c>
      <c r="N6" s="90">
        <f>SUM(N4:N5)</f>
        <v>8</v>
      </c>
      <c r="O6" s="90">
        <f>SUM(O4:O5)</f>
        <v>7</v>
      </c>
      <c r="P6" s="90">
        <f>SUM(P4:P5)</f>
        <v>1</v>
      </c>
      <c r="Q6" s="92">
        <f>SUM(Q4:Q5)</f>
        <v>0</v>
      </c>
      <c r="R6" s="94">
        <f t="shared" ref="R6" si="0">O6/N6</f>
        <v>0.875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44383</v>
      </c>
      <c r="D7" s="21" t="s">
        <v>18</v>
      </c>
      <c r="E7" s="21" t="s">
        <v>230</v>
      </c>
      <c r="F7" s="37">
        <v>21</v>
      </c>
      <c r="G7" s="37">
        <v>30</v>
      </c>
      <c r="H7" s="37">
        <v>9</v>
      </c>
      <c r="I7" s="22">
        <v>600</v>
      </c>
      <c r="J7" s="23">
        <v>5400</v>
      </c>
      <c r="K7" s="7"/>
      <c r="M7" s="89"/>
      <c r="N7" s="91"/>
      <c r="O7" s="91"/>
      <c r="P7" s="91"/>
      <c r="Q7" s="93"/>
      <c r="R7" s="95"/>
      <c r="V7" s="5">
        <f t="shared" ref="V7:V32" si="1">IF($J7&gt;0,1,0)</f>
        <v>1</v>
      </c>
      <c r="W7" s="5">
        <f t="shared" ref="W7:W32" si="2">IF($J7&lt;0,1,0)</f>
        <v>0</v>
      </c>
    </row>
    <row r="8" spans="1:23" x14ac:dyDescent="0.3">
      <c r="A8" s="6"/>
      <c r="B8" s="19">
        <v>3</v>
      </c>
      <c r="C8" s="20">
        <v>44385</v>
      </c>
      <c r="D8" s="21" t="s">
        <v>18</v>
      </c>
      <c r="E8" s="21" t="s">
        <v>231</v>
      </c>
      <c r="F8" s="37">
        <v>15</v>
      </c>
      <c r="G8" s="37">
        <v>112</v>
      </c>
      <c r="H8" s="37">
        <v>97</v>
      </c>
      <c r="I8" s="22">
        <v>50</v>
      </c>
      <c r="J8" s="23">
        <v>4850</v>
      </c>
      <c r="K8" s="7"/>
      <c r="M8" s="67" t="s">
        <v>20</v>
      </c>
      <c r="N8" s="68"/>
      <c r="O8" s="69"/>
      <c r="P8" s="76">
        <f>R6</f>
        <v>0.875</v>
      </c>
      <c r="Q8" s="77"/>
      <c r="R8" s="78"/>
      <c r="V8" s="5">
        <f t="shared" si="1"/>
        <v>1</v>
      </c>
      <c r="W8" s="5">
        <f t="shared" si="2"/>
        <v>0</v>
      </c>
    </row>
    <row r="9" spans="1:23" x14ac:dyDescent="0.3">
      <c r="A9" s="6"/>
      <c r="B9" s="19">
        <v>4</v>
      </c>
      <c r="C9" s="20">
        <v>44392</v>
      </c>
      <c r="D9" s="21" t="s">
        <v>18</v>
      </c>
      <c r="E9" s="21" t="s">
        <v>234</v>
      </c>
      <c r="F9" s="37">
        <v>25</v>
      </c>
      <c r="G9" s="37">
        <v>47.9</v>
      </c>
      <c r="H9" s="37">
        <v>22.9</v>
      </c>
      <c r="I9" s="22">
        <v>50</v>
      </c>
      <c r="J9" s="23">
        <v>1145</v>
      </c>
      <c r="K9" s="7"/>
      <c r="M9" s="70"/>
      <c r="N9" s="71"/>
      <c r="O9" s="72"/>
      <c r="P9" s="79"/>
      <c r="Q9" s="80"/>
      <c r="R9" s="81"/>
      <c r="V9" s="5">
        <f t="shared" si="1"/>
        <v>1</v>
      </c>
      <c r="W9" s="5">
        <f t="shared" si="2"/>
        <v>0</v>
      </c>
    </row>
    <row r="10" spans="1:23" ht="15" thickBot="1" x14ac:dyDescent="0.35">
      <c r="A10" s="6"/>
      <c r="B10" s="19">
        <v>5</v>
      </c>
      <c r="C10" s="20">
        <v>44397</v>
      </c>
      <c r="D10" s="21" t="s">
        <v>18</v>
      </c>
      <c r="E10" s="21" t="s">
        <v>232</v>
      </c>
      <c r="F10" s="37">
        <v>20</v>
      </c>
      <c r="G10" s="37">
        <v>45</v>
      </c>
      <c r="H10" s="37">
        <v>25</v>
      </c>
      <c r="I10" s="22">
        <v>50</v>
      </c>
      <c r="J10" s="23">
        <v>1250</v>
      </c>
      <c r="K10" s="7"/>
      <c r="M10" s="73"/>
      <c r="N10" s="74"/>
      <c r="O10" s="75"/>
      <c r="P10" s="82"/>
      <c r="Q10" s="83"/>
      <c r="R10" s="84"/>
      <c r="V10" s="5">
        <f t="shared" si="1"/>
        <v>1</v>
      </c>
      <c r="W10" s="5">
        <f t="shared" si="2"/>
        <v>0</v>
      </c>
    </row>
    <row r="11" spans="1:23" x14ac:dyDescent="0.3">
      <c r="A11" s="6"/>
      <c r="B11" s="19">
        <v>6</v>
      </c>
      <c r="C11" s="20">
        <v>44397</v>
      </c>
      <c r="D11" s="21" t="s">
        <v>18</v>
      </c>
      <c r="E11" s="21" t="s">
        <v>233</v>
      </c>
      <c r="F11" s="37">
        <v>20</v>
      </c>
      <c r="G11" s="37">
        <v>25.45</v>
      </c>
      <c r="H11" s="37">
        <v>5.45</v>
      </c>
      <c r="I11" s="22">
        <v>300</v>
      </c>
      <c r="J11" s="23">
        <v>1635</v>
      </c>
      <c r="K11" s="7"/>
      <c r="V11" s="5">
        <f t="shared" si="1"/>
        <v>1</v>
      </c>
      <c r="W11" s="5">
        <f t="shared" si="2"/>
        <v>0</v>
      </c>
    </row>
    <row r="12" spans="1:23" x14ac:dyDescent="0.3">
      <c r="A12" s="6"/>
      <c r="B12" s="19">
        <v>7</v>
      </c>
      <c r="C12" s="20">
        <v>44399</v>
      </c>
      <c r="D12" s="21" t="s">
        <v>18</v>
      </c>
      <c r="E12" s="21" t="s">
        <v>232</v>
      </c>
      <c r="F12" s="37">
        <v>20</v>
      </c>
      <c r="G12" s="37">
        <v>45</v>
      </c>
      <c r="H12" s="37">
        <v>25</v>
      </c>
      <c r="I12" s="22">
        <v>50</v>
      </c>
      <c r="J12" s="23">
        <v>1250</v>
      </c>
      <c r="K12" s="7"/>
      <c r="V12" s="5">
        <f t="shared" si="1"/>
        <v>1</v>
      </c>
      <c r="W12" s="5">
        <f t="shared" si="2"/>
        <v>0</v>
      </c>
    </row>
    <row r="13" spans="1:23" x14ac:dyDescent="0.3">
      <c r="A13" s="6"/>
      <c r="B13" s="19">
        <v>8</v>
      </c>
      <c r="C13" s="20">
        <v>44406</v>
      </c>
      <c r="D13" s="21" t="s">
        <v>18</v>
      </c>
      <c r="E13" s="21" t="s">
        <v>235</v>
      </c>
      <c r="F13" s="37">
        <v>20</v>
      </c>
      <c r="G13" s="37">
        <v>0</v>
      </c>
      <c r="H13" s="37">
        <v>-20</v>
      </c>
      <c r="I13" s="22">
        <v>50</v>
      </c>
      <c r="J13" s="23">
        <v>-1000</v>
      </c>
      <c r="K13" s="7"/>
      <c r="V13" s="5">
        <f t="shared" si="1"/>
        <v>0</v>
      </c>
      <c r="W13" s="5">
        <f t="shared" si="2"/>
        <v>1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ref="J14:J32" si="3">H14*I14</f>
        <v>0</v>
      </c>
      <c r="K14" s="7"/>
      <c r="M14" s="5" t="s">
        <v>21</v>
      </c>
      <c r="V14" s="5">
        <f t="shared" si="1"/>
        <v>0</v>
      </c>
      <c r="W14" s="5">
        <f t="shared" si="2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3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3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3"/>
        <v>0</v>
      </c>
      <c r="K17" s="7"/>
      <c r="V17" s="5">
        <f t="shared" si="1"/>
        <v>0</v>
      </c>
      <c r="W17" s="5">
        <f t="shared" si="2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3"/>
        <v>0</v>
      </c>
      <c r="K18" s="7"/>
      <c r="V18" s="5">
        <f t="shared" si="1"/>
        <v>0</v>
      </c>
      <c r="W18" s="5">
        <f t="shared" si="2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3"/>
        <v>0</v>
      </c>
      <c r="K19" s="7"/>
      <c r="V19" s="5">
        <f t="shared" si="1"/>
        <v>0</v>
      </c>
      <c r="W19" s="5">
        <f t="shared" si="2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3"/>
        <v>0</v>
      </c>
      <c r="K20" s="7"/>
      <c r="V20" s="5">
        <f t="shared" si="1"/>
        <v>0</v>
      </c>
      <c r="W20" s="5">
        <f t="shared" si="2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3"/>
        <v>0</v>
      </c>
      <c r="K21" s="7"/>
      <c r="O21" s="24"/>
      <c r="P21" s="24"/>
      <c r="Q21" s="24"/>
      <c r="R21" s="24"/>
      <c r="V21" s="5">
        <f t="shared" si="1"/>
        <v>0</v>
      </c>
      <c r="W21" s="5">
        <f t="shared" si="2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3"/>
        <v>0</v>
      </c>
      <c r="K22" s="7"/>
      <c r="V22" s="5">
        <f t="shared" si="1"/>
        <v>0</v>
      </c>
      <c r="W22" s="5">
        <f t="shared" si="2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3"/>
        <v>0</v>
      </c>
      <c r="K23" s="7"/>
      <c r="V23" s="5">
        <f t="shared" si="1"/>
        <v>0</v>
      </c>
      <c r="W23" s="5">
        <f t="shared" si="2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3"/>
        <v>0</v>
      </c>
      <c r="K24" s="7"/>
      <c r="V24" s="5">
        <f t="shared" si="1"/>
        <v>0</v>
      </c>
      <c r="W24" s="5">
        <f t="shared" si="2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3"/>
        <v>0</v>
      </c>
      <c r="K25" s="7"/>
      <c r="V25" s="5">
        <f t="shared" si="1"/>
        <v>0</v>
      </c>
      <c r="W25" s="5">
        <f t="shared" si="2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3"/>
        <v>0</v>
      </c>
      <c r="K26" s="7"/>
      <c r="V26" s="5">
        <f t="shared" si="1"/>
        <v>0</v>
      </c>
      <c r="W26" s="5">
        <f t="shared" si="2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3"/>
        <v>0</v>
      </c>
      <c r="K27" s="7"/>
      <c r="V27" s="5">
        <f t="shared" si="1"/>
        <v>0</v>
      </c>
      <c r="W27" s="5">
        <f t="shared" si="2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3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3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3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3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3"/>
        <v>0</v>
      </c>
      <c r="K32" s="7"/>
      <c r="V32" s="5">
        <f t="shared" si="1"/>
        <v>0</v>
      </c>
      <c r="W32" s="5">
        <f t="shared" si="2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15730</v>
      </c>
      <c r="K33" s="7"/>
      <c r="V33" s="5">
        <f>SUM(V6:V32)</f>
        <v>7</v>
      </c>
      <c r="W33" s="5">
        <f>SUM(W6:W32)</f>
        <v>1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3:H33"/>
    <mergeCell ref="M6:M7"/>
    <mergeCell ref="N6:N7"/>
    <mergeCell ref="O6:O7"/>
    <mergeCell ref="P6:P7"/>
    <mergeCell ref="Q6:Q7"/>
    <mergeCell ref="R6:R7"/>
  </mergeCells>
  <hyperlinks>
    <hyperlink ref="B33" r:id="rId1" xr:uid="{00000000-0004-0000-2000-000000000000}"/>
    <hyperlink ref="M1" location="MASTER!A1" display="Back" xr:uid="{00000000-0004-0000-2000-000001000000}"/>
  </hyperlinks>
  <pageMargins left="0" right="0" top="0" bottom="0" header="0" footer="0"/>
  <pageSetup paperSize="9" orientation="portrait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W34"/>
  <sheetViews>
    <sheetView topLeftCell="A10" workbookViewId="0">
      <selection activeCell="P4" sqref="P4:P5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44409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9</v>
      </c>
      <c r="O4" s="108">
        <f>V33</f>
        <v>7</v>
      </c>
      <c r="P4" s="108">
        <f>W33</f>
        <v>2</v>
      </c>
      <c r="Q4" s="110">
        <f>N4-O4-P4</f>
        <v>0</v>
      </c>
      <c r="R4" s="94">
        <f>O4/N4</f>
        <v>0.77777777777777779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44410</v>
      </c>
      <c r="D6" s="16" t="s">
        <v>18</v>
      </c>
      <c r="E6" s="16" t="s">
        <v>236</v>
      </c>
      <c r="F6" s="51">
        <v>30</v>
      </c>
      <c r="G6" s="51">
        <v>71</v>
      </c>
      <c r="H6" s="51">
        <f>71-30</f>
        <v>41</v>
      </c>
      <c r="I6" s="17">
        <v>375</v>
      </c>
      <c r="J6" s="18">
        <f>H6*I6</f>
        <v>15375</v>
      </c>
      <c r="K6" s="7"/>
      <c r="M6" s="88" t="s">
        <v>19</v>
      </c>
      <c r="N6" s="90">
        <f>SUM(N4:N5)</f>
        <v>9</v>
      </c>
      <c r="O6" s="90">
        <f>SUM(O4:O5)</f>
        <v>7</v>
      </c>
      <c r="P6" s="90">
        <f>SUM(P4:P5)</f>
        <v>2</v>
      </c>
      <c r="Q6" s="92">
        <f>SUM(Q4:Q5)</f>
        <v>0</v>
      </c>
      <c r="R6" s="94">
        <f t="shared" ref="R6" si="0">O6/N6</f>
        <v>0.77777777777777779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44413</v>
      </c>
      <c r="D7" s="21" t="s">
        <v>18</v>
      </c>
      <c r="E7" s="21" t="s">
        <v>237</v>
      </c>
      <c r="F7" s="37">
        <v>20</v>
      </c>
      <c r="G7" s="37">
        <v>34</v>
      </c>
      <c r="H7" s="37">
        <v>14</v>
      </c>
      <c r="I7" s="22">
        <v>50</v>
      </c>
      <c r="J7" s="23">
        <f t="shared" ref="J7:J32" si="1">H7*I7</f>
        <v>700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44418</v>
      </c>
      <c r="D8" s="21" t="s">
        <v>18</v>
      </c>
      <c r="E8" s="21" t="s">
        <v>238</v>
      </c>
      <c r="F8" s="37">
        <v>26</v>
      </c>
      <c r="G8" s="37">
        <v>40.450000000000003</v>
      </c>
      <c r="H8" s="37">
        <f>40.45-26</f>
        <v>14.450000000000003</v>
      </c>
      <c r="I8" s="22">
        <v>500</v>
      </c>
      <c r="J8" s="23">
        <f t="shared" si="1"/>
        <v>7225.0000000000018</v>
      </c>
      <c r="K8" s="7"/>
      <c r="M8" s="67" t="s">
        <v>20</v>
      </c>
      <c r="N8" s="68"/>
      <c r="O8" s="69"/>
      <c r="P8" s="76">
        <f>R6</f>
        <v>0.77777777777777779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44419</v>
      </c>
      <c r="D9" s="21" t="s">
        <v>18</v>
      </c>
      <c r="E9" s="21" t="s">
        <v>239</v>
      </c>
      <c r="F9" s="37">
        <v>50</v>
      </c>
      <c r="G9" s="37">
        <v>63.4</v>
      </c>
      <c r="H9" s="37">
        <f>63.4-50</f>
        <v>13.399999999999999</v>
      </c>
      <c r="I9" s="22">
        <v>100</v>
      </c>
      <c r="J9" s="23">
        <f t="shared" si="1"/>
        <v>1339.9999999999998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44420</v>
      </c>
      <c r="D10" s="21" t="s">
        <v>18</v>
      </c>
      <c r="E10" s="21" t="s">
        <v>240</v>
      </c>
      <c r="F10" s="37">
        <v>15</v>
      </c>
      <c r="G10" s="37">
        <v>0</v>
      </c>
      <c r="H10" s="37">
        <v>-15</v>
      </c>
      <c r="I10" s="22">
        <v>50</v>
      </c>
      <c r="J10" s="23">
        <f t="shared" si="1"/>
        <v>-750</v>
      </c>
      <c r="K10" s="7"/>
      <c r="M10" s="73"/>
      <c r="N10" s="74"/>
      <c r="O10" s="75"/>
      <c r="P10" s="82"/>
      <c r="Q10" s="83"/>
      <c r="R10" s="84"/>
      <c r="V10" s="5">
        <f t="shared" si="2"/>
        <v>0</v>
      </c>
      <c r="W10" s="5">
        <f t="shared" si="3"/>
        <v>1</v>
      </c>
    </row>
    <row r="11" spans="1:23" x14ac:dyDescent="0.3">
      <c r="A11" s="6"/>
      <c r="B11" s="19">
        <v>6</v>
      </c>
      <c r="C11" s="20">
        <v>44431</v>
      </c>
      <c r="D11" s="21" t="s">
        <v>18</v>
      </c>
      <c r="E11" s="21" t="s">
        <v>241</v>
      </c>
      <c r="F11" s="37">
        <v>55</v>
      </c>
      <c r="G11" s="37">
        <v>146</v>
      </c>
      <c r="H11" s="37">
        <f>146-55</f>
        <v>91</v>
      </c>
      <c r="I11" s="22">
        <v>100</v>
      </c>
      <c r="J11" s="23">
        <f t="shared" si="1"/>
        <v>9100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44431</v>
      </c>
      <c r="D12" s="21" t="s">
        <v>18</v>
      </c>
      <c r="E12" s="21" t="s">
        <v>242</v>
      </c>
      <c r="F12" s="37">
        <v>7</v>
      </c>
      <c r="G12" s="37">
        <v>25</v>
      </c>
      <c r="H12" s="37">
        <f>25-7</f>
        <v>18</v>
      </c>
      <c r="I12" s="22">
        <v>550</v>
      </c>
      <c r="J12" s="23">
        <f t="shared" si="1"/>
        <v>9900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44433</v>
      </c>
      <c r="D13" s="21" t="s">
        <v>18</v>
      </c>
      <c r="E13" s="21" t="s">
        <v>243</v>
      </c>
      <c r="F13" s="37">
        <v>25</v>
      </c>
      <c r="G13" s="37">
        <v>50</v>
      </c>
      <c r="H13" s="37">
        <v>25</v>
      </c>
      <c r="I13" s="22">
        <v>200</v>
      </c>
      <c r="J13" s="23">
        <f t="shared" si="1"/>
        <v>5000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44434</v>
      </c>
      <c r="D14" s="21" t="s">
        <v>18</v>
      </c>
      <c r="E14" s="21" t="s">
        <v>244</v>
      </c>
      <c r="F14" s="37">
        <v>6</v>
      </c>
      <c r="G14" s="37">
        <v>0</v>
      </c>
      <c r="H14" s="37">
        <v>-6</v>
      </c>
      <c r="I14" s="22">
        <v>100</v>
      </c>
      <c r="J14" s="23">
        <f t="shared" si="1"/>
        <v>-600</v>
      </c>
      <c r="K14" s="7"/>
      <c r="M14" s="5" t="s">
        <v>21</v>
      </c>
      <c r="V14" s="5">
        <f t="shared" si="2"/>
        <v>0</v>
      </c>
      <c r="W14" s="5">
        <f t="shared" si="3"/>
        <v>1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47290</v>
      </c>
      <c r="K33" s="7"/>
      <c r="V33" s="5">
        <f>SUM(V6:V32)</f>
        <v>7</v>
      </c>
      <c r="W33" s="5">
        <f>SUM(W6:W32)</f>
        <v>2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3:H33"/>
    <mergeCell ref="M6:M7"/>
    <mergeCell ref="N6:N7"/>
    <mergeCell ref="O6:O7"/>
    <mergeCell ref="P6:P7"/>
    <mergeCell ref="Q6:Q7"/>
    <mergeCell ref="R6:R7"/>
  </mergeCells>
  <hyperlinks>
    <hyperlink ref="B33" r:id="rId1" xr:uid="{00000000-0004-0000-2100-000000000000}"/>
    <hyperlink ref="M1" location="MASTER!A1" display="Back" xr:uid="{00000000-0004-0000-2100-000001000000}"/>
  </hyperlinks>
  <pageMargins left="0" right="0" top="0" bottom="0" header="0" footer="0"/>
  <pageSetup paperSize="9" orientation="portrait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W26"/>
  <sheetViews>
    <sheetView topLeftCell="A4" workbookViewId="0">
      <selection activeCell="C7" sqref="C7:J18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44440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COUNT(C6:C24)</f>
        <v>13</v>
      </c>
      <c r="O4" s="108">
        <v>11</v>
      </c>
      <c r="P4" s="108">
        <f>W25</f>
        <v>2</v>
      </c>
      <c r="Q4" s="110">
        <f>N4-O4-P4</f>
        <v>0</v>
      </c>
      <c r="R4" s="94">
        <f>O4/N4</f>
        <v>0.84615384615384615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44441</v>
      </c>
      <c r="D6" s="16" t="s">
        <v>18</v>
      </c>
      <c r="E6" s="16" t="s">
        <v>245</v>
      </c>
      <c r="F6" s="51">
        <v>15</v>
      </c>
      <c r="G6" s="51">
        <v>1</v>
      </c>
      <c r="H6" s="51">
        <v>-14</v>
      </c>
      <c r="I6" s="17">
        <v>50</v>
      </c>
      <c r="J6" s="18">
        <f>H6*I6</f>
        <v>-700</v>
      </c>
      <c r="K6" s="7"/>
      <c r="M6" s="88" t="s">
        <v>19</v>
      </c>
      <c r="N6" s="90">
        <f>SUM(N4:N5)</f>
        <v>13</v>
      </c>
      <c r="O6" s="90">
        <f>SUM(O4:O5)</f>
        <v>11</v>
      </c>
      <c r="P6" s="90">
        <f>SUM(P4:P5)</f>
        <v>2</v>
      </c>
      <c r="Q6" s="92">
        <f>SUM(Q4:Q5)</f>
        <v>0</v>
      </c>
      <c r="R6" s="94">
        <f t="shared" ref="R6" si="0">O6/N6</f>
        <v>0.84615384615384615</v>
      </c>
      <c r="V6" s="5">
        <f>IF($J6&gt;0,1,0)</f>
        <v>0</v>
      </c>
      <c r="W6" s="5">
        <f>IF($J6&lt;0,1,0)</f>
        <v>1</v>
      </c>
    </row>
    <row r="7" spans="1:23" ht="15" thickBot="1" x14ac:dyDescent="0.35">
      <c r="A7" s="6"/>
      <c r="B7" s="19">
        <v>2</v>
      </c>
      <c r="C7" s="20">
        <v>44441</v>
      </c>
      <c r="D7" s="21" t="s">
        <v>18</v>
      </c>
      <c r="E7" s="21" t="s">
        <v>246</v>
      </c>
      <c r="F7" s="37">
        <v>0.8</v>
      </c>
      <c r="G7" s="37">
        <v>1.1499999999999999</v>
      </c>
      <c r="H7" s="37">
        <f>1.15-0.8</f>
        <v>0.34999999999999987</v>
      </c>
      <c r="I7" s="22">
        <v>16000</v>
      </c>
      <c r="J7" s="23">
        <f t="shared" ref="J7:J24" si="1">H7*I7</f>
        <v>5599.9999999999982</v>
      </c>
      <c r="K7" s="7"/>
      <c r="M7" s="89"/>
      <c r="N7" s="91"/>
      <c r="O7" s="91"/>
      <c r="P7" s="91"/>
      <c r="Q7" s="93"/>
      <c r="R7" s="95"/>
      <c r="V7" s="5">
        <f t="shared" ref="V7:V24" si="2">IF($J7&gt;0,1,0)</f>
        <v>1</v>
      </c>
      <c r="W7" s="5">
        <f t="shared" ref="W7:W24" si="3">IF($J7&lt;0,1,0)</f>
        <v>0</v>
      </c>
    </row>
    <row r="8" spans="1:23" x14ac:dyDescent="0.3">
      <c r="A8" s="6"/>
      <c r="B8" s="19">
        <v>3</v>
      </c>
      <c r="C8" s="20">
        <v>44445</v>
      </c>
      <c r="D8" s="21" t="s">
        <v>18</v>
      </c>
      <c r="E8" s="21" t="s">
        <v>247</v>
      </c>
      <c r="F8" s="37">
        <v>60</v>
      </c>
      <c r="G8" s="37">
        <v>199</v>
      </c>
      <c r="H8" s="37">
        <f>199-60</f>
        <v>139</v>
      </c>
      <c r="I8" s="22">
        <v>325</v>
      </c>
      <c r="J8" s="23">
        <f t="shared" si="1"/>
        <v>45175</v>
      </c>
      <c r="K8" s="7"/>
      <c r="M8" s="67" t="s">
        <v>20</v>
      </c>
      <c r="N8" s="68"/>
      <c r="O8" s="69"/>
      <c r="P8" s="76">
        <f>R6</f>
        <v>0.84615384615384615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44447</v>
      </c>
      <c r="D9" s="21" t="s">
        <v>18</v>
      </c>
      <c r="E9" s="21" t="s">
        <v>248</v>
      </c>
      <c r="F9" s="37">
        <v>27</v>
      </c>
      <c r="G9" s="37">
        <v>41.8</v>
      </c>
      <c r="H9" s="37">
        <v>1250</v>
      </c>
      <c r="I9" s="22">
        <f>41.8-27</f>
        <v>14.799999999999997</v>
      </c>
      <c r="J9" s="23">
        <f t="shared" si="1"/>
        <v>18499.999999999996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44448</v>
      </c>
      <c r="D10" s="21" t="s">
        <v>18</v>
      </c>
      <c r="E10" s="21" t="s">
        <v>249</v>
      </c>
      <c r="F10" s="37">
        <v>20</v>
      </c>
      <c r="G10" s="37">
        <v>29</v>
      </c>
      <c r="H10" s="37">
        <v>9</v>
      </c>
      <c r="I10" s="22">
        <v>50</v>
      </c>
      <c r="J10" s="23">
        <f t="shared" si="1"/>
        <v>450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44453</v>
      </c>
      <c r="D11" s="21" t="s">
        <v>18</v>
      </c>
      <c r="E11" s="21" t="s">
        <v>250</v>
      </c>
      <c r="F11" s="37">
        <v>10</v>
      </c>
      <c r="G11" s="37">
        <v>15.35</v>
      </c>
      <c r="H11" s="37">
        <v>5.35</v>
      </c>
      <c r="I11" s="22">
        <v>1500</v>
      </c>
      <c r="J11" s="23">
        <f t="shared" si="1"/>
        <v>8024.9999999999991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44455</v>
      </c>
      <c r="D12" s="21" t="s">
        <v>18</v>
      </c>
      <c r="E12" s="21" t="s">
        <v>252</v>
      </c>
      <c r="F12" s="37">
        <v>25</v>
      </c>
      <c r="G12" s="37">
        <v>200</v>
      </c>
      <c r="H12" s="37">
        <f>200-25</f>
        <v>175</v>
      </c>
      <c r="I12" s="22">
        <v>1500</v>
      </c>
      <c r="J12" s="23">
        <f t="shared" si="1"/>
        <v>262500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44459</v>
      </c>
      <c r="D13" s="21" t="s">
        <v>18</v>
      </c>
      <c r="E13" s="21" t="s">
        <v>251</v>
      </c>
      <c r="F13" s="37">
        <v>11</v>
      </c>
      <c r="G13" s="37">
        <v>7</v>
      </c>
      <c r="H13" s="37">
        <v>-4</v>
      </c>
      <c r="I13" s="22">
        <v>1500</v>
      </c>
      <c r="J13" s="23">
        <f t="shared" si="1"/>
        <v>-6000</v>
      </c>
      <c r="K13" s="7"/>
      <c r="V13" s="5">
        <f t="shared" si="2"/>
        <v>0</v>
      </c>
      <c r="W13" s="5">
        <f t="shared" si="3"/>
        <v>1</v>
      </c>
    </row>
    <row r="14" spans="1:23" x14ac:dyDescent="0.3">
      <c r="A14" s="6"/>
      <c r="B14" s="19">
        <v>9</v>
      </c>
      <c r="C14" s="20">
        <v>44460</v>
      </c>
      <c r="D14" s="21" t="s">
        <v>18</v>
      </c>
      <c r="E14" s="21" t="s">
        <v>253</v>
      </c>
      <c r="F14" s="37">
        <v>16</v>
      </c>
      <c r="G14" s="37">
        <v>30</v>
      </c>
      <c r="H14" s="37">
        <f>30-16</f>
        <v>14</v>
      </c>
      <c r="I14" s="22">
        <v>650</v>
      </c>
      <c r="J14" s="23">
        <f t="shared" si="1"/>
        <v>9100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44462</v>
      </c>
      <c r="D15" s="21" t="s">
        <v>18</v>
      </c>
      <c r="E15" s="21" t="s">
        <v>254</v>
      </c>
      <c r="F15" s="37">
        <v>25</v>
      </c>
      <c r="G15" s="37">
        <v>35</v>
      </c>
      <c r="H15" s="37">
        <v>10</v>
      </c>
      <c r="I15" s="22">
        <v>50</v>
      </c>
      <c r="J15" s="23">
        <f t="shared" si="1"/>
        <v>500</v>
      </c>
      <c r="K15" s="7"/>
      <c r="V15" s="5">
        <f>IF($J15&gt;0,1,0)</f>
        <v>1</v>
      </c>
      <c r="W15" s="5">
        <f>IF($J15&lt;0,1,0)</f>
        <v>0</v>
      </c>
    </row>
    <row r="16" spans="1:23" x14ac:dyDescent="0.3">
      <c r="A16" s="6"/>
      <c r="B16" s="19">
        <v>11</v>
      </c>
      <c r="C16" s="20">
        <v>44463</v>
      </c>
      <c r="D16" s="21" t="s">
        <v>18</v>
      </c>
      <c r="E16" s="21" t="s">
        <v>255</v>
      </c>
      <c r="F16" s="37">
        <v>5</v>
      </c>
      <c r="G16" s="37">
        <v>17</v>
      </c>
      <c r="H16" s="37">
        <v>12</v>
      </c>
      <c r="I16" s="22">
        <v>2800</v>
      </c>
      <c r="J16" s="23">
        <f>H16*I16</f>
        <v>33600</v>
      </c>
      <c r="K16" s="7"/>
      <c r="V16" s="5">
        <f>IF($J16&gt;0,1,0)</f>
        <v>1</v>
      </c>
      <c r="W16" s="5">
        <f>IF($J16&lt;0,1,0)</f>
        <v>0</v>
      </c>
    </row>
    <row r="17" spans="1:23" x14ac:dyDescent="0.3">
      <c r="A17" s="6"/>
      <c r="B17" s="19">
        <v>12</v>
      </c>
      <c r="C17" s="20">
        <v>44466</v>
      </c>
      <c r="D17" s="21" t="s">
        <v>18</v>
      </c>
      <c r="E17" s="21" t="s">
        <v>256</v>
      </c>
      <c r="F17" s="37">
        <v>7</v>
      </c>
      <c r="G17" s="37">
        <v>52</v>
      </c>
      <c r="H17" s="37">
        <v>45</v>
      </c>
      <c r="I17" s="22">
        <v>1000</v>
      </c>
      <c r="J17" s="23">
        <f>H17*I17</f>
        <v>45000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19">
        <v>13</v>
      </c>
      <c r="C18" s="20">
        <v>44469</v>
      </c>
      <c r="D18" s="21" t="s">
        <v>18</v>
      </c>
      <c r="E18" s="21" t="s">
        <v>257</v>
      </c>
      <c r="F18" s="37">
        <v>25</v>
      </c>
      <c r="G18" s="37">
        <v>139</v>
      </c>
      <c r="H18" s="37">
        <v>114</v>
      </c>
      <c r="I18" s="22">
        <v>50</v>
      </c>
      <c r="J18" s="23">
        <f>H18*I18</f>
        <v>5700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t="15" thickBot="1" x14ac:dyDescent="0.35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t="24" thickBot="1" x14ac:dyDescent="0.5">
      <c r="A25" s="6"/>
      <c r="B25" s="85" t="s">
        <v>22</v>
      </c>
      <c r="C25" s="86"/>
      <c r="D25" s="86"/>
      <c r="E25" s="86"/>
      <c r="F25" s="86"/>
      <c r="G25" s="86"/>
      <c r="H25" s="87"/>
      <c r="I25" s="30" t="s">
        <v>23</v>
      </c>
      <c r="J25" s="31">
        <f>SUM(J6:J24)</f>
        <v>427450</v>
      </c>
      <c r="K25" s="7"/>
      <c r="V25" s="5">
        <f>SUM(V6:V24)</f>
        <v>11</v>
      </c>
      <c r="W25" s="5">
        <f>SUM(W6:W24)</f>
        <v>2</v>
      </c>
    </row>
    <row r="26" spans="1:23" ht="30" customHeight="1" thickBot="1" x14ac:dyDescent="0.35">
      <c r="A26" s="32"/>
      <c r="B26" s="33"/>
      <c r="C26" s="33"/>
      <c r="D26" s="33"/>
      <c r="E26" s="33"/>
      <c r="F26" s="33"/>
      <c r="G26" s="33"/>
      <c r="H26" s="34"/>
      <c r="I26" s="33"/>
      <c r="J26" s="34"/>
      <c r="K26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25:H25"/>
    <mergeCell ref="M6:M7"/>
    <mergeCell ref="N6:N7"/>
    <mergeCell ref="O6:O7"/>
    <mergeCell ref="P6:P7"/>
    <mergeCell ref="Q6:Q7"/>
    <mergeCell ref="R6:R7"/>
  </mergeCells>
  <hyperlinks>
    <hyperlink ref="B25" r:id="rId1" xr:uid="{00000000-0004-0000-2200-000000000000}"/>
    <hyperlink ref="M1" location="MASTER!A1" display="Back" xr:uid="{00000000-0004-0000-2200-000001000000}"/>
  </hyperlinks>
  <pageMargins left="0" right="0" top="0" bottom="0" header="0" footer="0"/>
  <pageSetup paperSize="9" orientation="portrait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W34"/>
  <sheetViews>
    <sheetView topLeftCell="A4" workbookViewId="0">
      <selection activeCell="O18" sqref="O18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44470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v>11</v>
      </c>
      <c r="O4" s="108">
        <v>10</v>
      </c>
      <c r="P4" s="108">
        <f>W33</f>
        <v>1</v>
      </c>
      <c r="Q4" s="110">
        <v>0</v>
      </c>
      <c r="R4" s="94">
        <f>O4/N4</f>
        <v>0.90909090909090906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44473</v>
      </c>
      <c r="D6" s="16" t="s">
        <v>18</v>
      </c>
      <c r="E6" s="16" t="s">
        <v>265</v>
      </c>
      <c r="F6" s="51">
        <v>55</v>
      </c>
      <c r="G6" s="51">
        <v>74</v>
      </c>
      <c r="H6" s="51">
        <f>74-55</f>
        <v>19</v>
      </c>
      <c r="I6" s="17">
        <v>300</v>
      </c>
      <c r="J6" s="18">
        <f>H6*I6</f>
        <v>5700</v>
      </c>
      <c r="K6" s="7"/>
      <c r="M6" s="88" t="s">
        <v>19</v>
      </c>
      <c r="N6" s="90">
        <f>SUM(N4:N5)</f>
        <v>11</v>
      </c>
      <c r="O6" s="90">
        <f>SUM(O4:O5)</f>
        <v>10</v>
      </c>
      <c r="P6" s="90">
        <f>SUM(P4:P5)</f>
        <v>1</v>
      </c>
      <c r="Q6" s="92">
        <f>SUM(Q4:Q5)</f>
        <v>0</v>
      </c>
      <c r="R6" s="94">
        <f t="shared" ref="R6" si="0">O6/N6</f>
        <v>0.90909090909090906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44475</v>
      </c>
      <c r="D7" s="21" t="s">
        <v>18</v>
      </c>
      <c r="E7" s="21" t="s">
        <v>266</v>
      </c>
      <c r="F7" s="37">
        <v>40</v>
      </c>
      <c r="G7" s="37">
        <v>117</v>
      </c>
      <c r="H7" s="37">
        <f>117-40</f>
        <v>77</v>
      </c>
      <c r="I7" s="22">
        <v>500</v>
      </c>
      <c r="J7" s="23">
        <f t="shared" ref="J7:J32" si="1">H7*I7</f>
        <v>38500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44476</v>
      </c>
      <c r="D8" s="21" t="s">
        <v>18</v>
      </c>
      <c r="E8" s="21" t="s">
        <v>254</v>
      </c>
      <c r="F8" s="37">
        <v>20</v>
      </c>
      <c r="G8" s="37">
        <v>55</v>
      </c>
      <c r="H8" s="37">
        <f>55-20</f>
        <v>35</v>
      </c>
      <c r="I8" s="22">
        <v>50</v>
      </c>
      <c r="J8" s="23">
        <f t="shared" si="1"/>
        <v>1750</v>
      </c>
      <c r="K8" s="7"/>
      <c r="M8" s="67" t="s">
        <v>20</v>
      </c>
      <c r="N8" s="68"/>
      <c r="O8" s="69"/>
      <c r="P8" s="76">
        <f>R6</f>
        <v>0.90909090909090906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44476</v>
      </c>
      <c r="D9" s="21" t="s">
        <v>18</v>
      </c>
      <c r="E9" s="21" t="s">
        <v>258</v>
      </c>
      <c r="F9" s="37">
        <v>380</v>
      </c>
      <c r="G9" s="37">
        <v>625</v>
      </c>
      <c r="H9" s="37">
        <f>625-380</f>
        <v>245</v>
      </c>
      <c r="I9" s="22">
        <v>50</v>
      </c>
      <c r="J9" s="23">
        <f t="shared" si="1"/>
        <v>12250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44480</v>
      </c>
      <c r="D10" s="21" t="s">
        <v>18</v>
      </c>
      <c r="E10" s="21" t="s">
        <v>267</v>
      </c>
      <c r="F10" s="37">
        <v>4.9000000000000004</v>
      </c>
      <c r="G10" s="37">
        <v>12</v>
      </c>
      <c r="H10" s="37">
        <f>12-4.9</f>
        <v>7.1</v>
      </c>
      <c r="I10" s="22">
        <v>3100</v>
      </c>
      <c r="J10" s="23">
        <f t="shared" si="1"/>
        <v>22010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44483</v>
      </c>
      <c r="D11" s="21" t="s">
        <v>18</v>
      </c>
      <c r="E11" s="21" t="s">
        <v>268</v>
      </c>
      <c r="F11" s="37">
        <v>15</v>
      </c>
      <c r="G11" s="37">
        <v>228</v>
      </c>
      <c r="H11" s="37">
        <f>228-15</f>
        <v>213</v>
      </c>
      <c r="I11" s="22">
        <v>50</v>
      </c>
      <c r="J11" s="23">
        <f t="shared" si="1"/>
        <v>10650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44483</v>
      </c>
      <c r="D12" s="21" t="s">
        <v>18</v>
      </c>
      <c r="E12" s="21" t="s">
        <v>259</v>
      </c>
      <c r="F12" s="37">
        <v>7</v>
      </c>
      <c r="G12" s="37">
        <v>3</v>
      </c>
      <c r="H12" s="37">
        <v>-4</v>
      </c>
      <c r="I12" s="22">
        <v>100</v>
      </c>
      <c r="J12" s="23">
        <f t="shared" si="1"/>
        <v>-400</v>
      </c>
      <c r="K12" s="7"/>
      <c r="V12" s="5">
        <f t="shared" si="2"/>
        <v>0</v>
      </c>
      <c r="W12" s="5">
        <f t="shared" si="3"/>
        <v>1</v>
      </c>
    </row>
    <row r="13" spans="1:23" x14ac:dyDescent="0.3">
      <c r="A13" s="6"/>
      <c r="B13" s="19">
        <v>8</v>
      </c>
      <c r="C13" s="20">
        <v>44487</v>
      </c>
      <c r="D13" s="21" t="s">
        <v>18</v>
      </c>
      <c r="E13" s="21" t="s">
        <v>260</v>
      </c>
      <c r="F13" s="37">
        <v>32</v>
      </c>
      <c r="G13" s="37">
        <v>39</v>
      </c>
      <c r="H13" s="37">
        <v>6</v>
      </c>
      <c r="I13" s="22">
        <v>500</v>
      </c>
      <c r="J13" s="23">
        <f t="shared" si="1"/>
        <v>3000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44488</v>
      </c>
      <c r="D14" s="21" t="s">
        <v>18</v>
      </c>
      <c r="E14" s="21" t="s">
        <v>261</v>
      </c>
      <c r="F14" s="37">
        <v>140</v>
      </c>
      <c r="G14" s="37">
        <v>370</v>
      </c>
      <c r="H14" s="37">
        <f>370-140</f>
        <v>230</v>
      </c>
      <c r="I14" s="22">
        <v>125</v>
      </c>
      <c r="J14" s="23">
        <f t="shared" si="1"/>
        <v>28750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44489</v>
      </c>
      <c r="D15" s="21" t="s">
        <v>18</v>
      </c>
      <c r="E15" s="21" t="s">
        <v>262</v>
      </c>
      <c r="F15" s="37">
        <v>50</v>
      </c>
      <c r="G15" s="37">
        <v>73</v>
      </c>
      <c r="H15" s="37">
        <v>23</v>
      </c>
      <c r="I15" s="22">
        <v>50</v>
      </c>
      <c r="J15" s="23">
        <f t="shared" si="1"/>
        <v>1150</v>
      </c>
      <c r="K15" s="7"/>
      <c r="V15" s="5">
        <f>IF($J15&gt;0,1,0)</f>
        <v>1</v>
      </c>
      <c r="W15" s="5">
        <f>IF($J15&lt;0,1,0)</f>
        <v>0</v>
      </c>
    </row>
    <row r="16" spans="1:23" x14ac:dyDescent="0.3">
      <c r="A16" s="6"/>
      <c r="B16" s="19">
        <v>11</v>
      </c>
      <c r="C16" s="20">
        <v>44490</v>
      </c>
      <c r="D16" s="21" t="s">
        <v>18</v>
      </c>
      <c r="E16" s="21" t="s">
        <v>263</v>
      </c>
      <c r="F16" s="37">
        <v>30</v>
      </c>
      <c r="G16" s="37">
        <v>243</v>
      </c>
      <c r="H16" s="37">
        <v>213</v>
      </c>
      <c r="I16" s="22">
        <v>50</v>
      </c>
      <c r="J16" s="23">
        <f t="shared" si="1"/>
        <v>10650</v>
      </c>
      <c r="K16" s="7"/>
      <c r="V16" s="5">
        <f>IF($J16&gt;0,1,0)</f>
        <v>1</v>
      </c>
      <c r="W16" s="5">
        <f>IF($J16&lt;0,1,0)</f>
        <v>0</v>
      </c>
    </row>
    <row r="17" spans="1:23" x14ac:dyDescent="0.3">
      <c r="A17" s="6"/>
      <c r="B17" s="19">
        <v>12</v>
      </c>
      <c r="C17" s="20">
        <v>44495</v>
      </c>
      <c r="D17" s="21" t="s">
        <v>18</v>
      </c>
      <c r="E17" s="21" t="s">
        <v>269</v>
      </c>
      <c r="F17" s="37">
        <v>24</v>
      </c>
      <c r="G17" s="37">
        <v>34.950000000000003</v>
      </c>
      <c r="H17" s="37">
        <f>34.95-24</f>
        <v>10.950000000000003</v>
      </c>
      <c r="I17" s="22">
        <v>500</v>
      </c>
      <c r="J17" s="23">
        <f t="shared" si="1"/>
        <v>5475.0000000000018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19">
        <v>13</v>
      </c>
      <c r="C18" s="20">
        <v>44496</v>
      </c>
      <c r="D18" s="21" t="s">
        <v>18</v>
      </c>
      <c r="E18" s="21" t="s">
        <v>270</v>
      </c>
      <c r="F18" s="37">
        <v>15</v>
      </c>
      <c r="G18" s="37">
        <v>24.65</v>
      </c>
      <c r="H18" s="37">
        <f>24.65-15</f>
        <v>9.6499999999999986</v>
      </c>
      <c r="I18" s="22">
        <v>500</v>
      </c>
      <c r="J18" s="23">
        <f t="shared" si="1"/>
        <v>4824.9999999999991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9">
        <v>14</v>
      </c>
      <c r="C19" s="20">
        <v>44496</v>
      </c>
      <c r="D19" s="21" t="s">
        <v>18</v>
      </c>
      <c r="E19" s="21" t="s">
        <v>271</v>
      </c>
      <c r="F19" s="37">
        <v>70</v>
      </c>
      <c r="G19" s="37">
        <v>100</v>
      </c>
      <c r="H19" s="37">
        <v>30</v>
      </c>
      <c r="I19" s="22">
        <v>125</v>
      </c>
      <c r="J19" s="23">
        <f t="shared" si="1"/>
        <v>3750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19">
        <v>15</v>
      </c>
      <c r="C20" s="20">
        <v>44497</v>
      </c>
      <c r="D20" s="21" t="s">
        <v>18</v>
      </c>
      <c r="E20" s="21" t="s">
        <v>264</v>
      </c>
      <c r="F20" s="37">
        <v>4</v>
      </c>
      <c r="G20" s="37">
        <v>4.8499999999999996</v>
      </c>
      <c r="H20" s="37">
        <v>0.85</v>
      </c>
      <c r="I20" s="22">
        <v>575</v>
      </c>
      <c r="J20" s="23">
        <f t="shared" si="1"/>
        <v>488.75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9">
        <v>16</v>
      </c>
      <c r="C21" s="20">
        <v>44497</v>
      </c>
      <c r="D21" s="21" t="s">
        <v>18</v>
      </c>
      <c r="E21" s="21" t="s">
        <v>272</v>
      </c>
      <c r="F21" s="37">
        <v>30</v>
      </c>
      <c r="G21" s="37">
        <v>323</v>
      </c>
      <c r="H21" s="37">
        <f>323-30</f>
        <v>293</v>
      </c>
      <c r="I21" s="22">
        <v>50</v>
      </c>
      <c r="J21" s="23">
        <f t="shared" si="1"/>
        <v>14650</v>
      </c>
      <c r="K21" s="7"/>
      <c r="O21" s="24"/>
      <c r="P21" s="24"/>
      <c r="Q21" s="24"/>
      <c r="R21" s="24"/>
      <c r="V21" s="5">
        <f t="shared" si="2"/>
        <v>1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idden="1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hidden="1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hidden="1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hidden="1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163198.75</v>
      </c>
      <c r="K33" s="7"/>
      <c r="V33" s="5">
        <f>SUM(V6:V32)</f>
        <v>15</v>
      </c>
      <c r="W33" s="5">
        <f>SUM(W6:W32)</f>
        <v>1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00000000-0004-0000-2300-000000000000}"/>
    <hyperlink ref="M1" location="MASTER!A1" display="Back" xr:uid="{00000000-0004-0000-2300-000001000000}"/>
  </hyperlinks>
  <pageMargins left="0" right="0" top="0" bottom="0" header="0" footer="0"/>
  <pageSetup paperSize="9" orientation="portrait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W34"/>
  <sheetViews>
    <sheetView workbookViewId="0">
      <selection activeCell="H19" sqref="H19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44501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v>13</v>
      </c>
      <c r="O4" s="108">
        <v>11</v>
      </c>
      <c r="P4" s="108">
        <f>W33</f>
        <v>2</v>
      </c>
      <c r="Q4" s="110">
        <v>0</v>
      </c>
      <c r="R4" s="94">
        <f>O4/N4</f>
        <v>0.84615384615384615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44501</v>
      </c>
      <c r="D6" s="16" t="s">
        <v>18</v>
      </c>
      <c r="E6" s="16" t="s">
        <v>276</v>
      </c>
      <c r="F6" s="51">
        <v>150</v>
      </c>
      <c r="G6" s="51">
        <v>261</v>
      </c>
      <c r="H6" s="51">
        <f>261-150</f>
        <v>111</v>
      </c>
      <c r="I6" s="17">
        <v>125</v>
      </c>
      <c r="J6" s="18">
        <f>H6*I6</f>
        <v>13875</v>
      </c>
      <c r="K6" s="7"/>
      <c r="M6" s="88" t="s">
        <v>19</v>
      </c>
      <c r="N6" s="90">
        <f>SUM(N4:N5)</f>
        <v>13</v>
      </c>
      <c r="O6" s="90">
        <f>SUM(O4:O5)</f>
        <v>11</v>
      </c>
      <c r="P6" s="90">
        <f>SUM(P4:P5)</f>
        <v>2</v>
      </c>
      <c r="Q6" s="92">
        <f>SUM(Q4:Q5)</f>
        <v>0</v>
      </c>
      <c r="R6" s="94">
        <f t="shared" ref="R6" si="0">O6/N6</f>
        <v>0.84615384615384615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44509</v>
      </c>
      <c r="D7" s="21" t="s">
        <v>18</v>
      </c>
      <c r="E7" s="21" t="s">
        <v>277</v>
      </c>
      <c r="F7" s="37">
        <v>28</v>
      </c>
      <c r="G7" s="37">
        <v>43</v>
      </c>
      <c r="H7" s="37">
        <f>43-28</f>
        <v>15</v>
      </c>
      <c r="I7" s="22">
        <v>250</v>
      </c>
      <c r="J7" s="23">
        <f t="shared" ref="J7:J32" si="1">H7*I7</f>
        <v>3750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44510</v>
      </c>
      <c r="D8" s="21" t="s">
        <v>18</v>
      </c>
      <c r="E8" s="21" t="s">
        <v>273</v>
      </c>
      <c r="F8" s="37">
        <v>40</v>
      </c>
      <c r="G8" s="37">
        <v>31</v>
      </c>
      <c r="H8" s="37">
        <v>-9</v>
      </c>
      <c r="I8" s="22">
        <v>400</v>
      </c>
      <c r="J8" s="23">
        <f t="shared" si="1"/>
        <v>-3600</v>
      </c>
      <c r="K8" s="7"/>
      <c r="M8" s="67" t="s">
        <v>20</v>
      </c>
      <c r="N8" s="68"/>
      <c r="O8" s="69"/>
      <c r="P8" s="76">
        <f>R6</f>
        <v>0.84615384615384615</v>
      </c>
      <c r="Q8" s="77"/>
      <c r="R8" s="78"/>
      <c r="V8" s="5">
        <f t="shared" si="2"/>
        <v>0</v>
      </c>
      <c r="W8" s="5">
        <f t="shared" si="3"/>
        <v>1</v>
      </c>
    </row>
    <row r="9" spans="1:23" x14ac:dyDescent="0.3">
      <c r="A9" s="6"/>
      <c r="B9" s="19">
        <v>4</v>
      </c>
      <c r="C9" s="20">
        <v>44511</v>
      </c>
      <c r="D9" s="21" t="s">
        <v>18</v>
      </c>
      <c r="E9" s="21" t="s">
        <v>283</v>
      </c>
      <c r="F9" s="37">
        <v>20</v>
      </c>
      <c r="G9" s="37">
        <v>40</v>
      </c>
      <c r="H9" s="37">
        <v>20</v>
      </c>
      <c r="I9" s="22">
        <v>50</v>
      </c>
      <c r="J9" s="23">
        <f t="shared" si="1"/>
        <v>1000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44516</v>
      </c>
      <c r="D10" s="21" t="s">
        <v>18</v>
      </c>
      <c r="E10" s="21" t="s">
        <v>278</v>
      </c>
      <c r="F10" s="37">
        <v>18</v>
      </c>
      <c r="G10" s="37">
        <v>28.65</v>
      </c>
      <c r="H10" s="37">
        <f>28.65-18</f>
        <v>10.649999999999999</v>
      </c>
      <c r="I10" s="22">
        <v>407</v>
      </c>
      <c r="J10" s="23">
        <f t="shared" si="1"/>
        <v>4334.5499999999993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44517</v>
      </c>
      <c r="D11" s="21" t="s">
        <v>18</v>
      </c>
      <c r="E11" s="21" t="s">
        <v>274</v>
      </c>
      <c r="F11" s="37">
        <v>55</v>
      </c>
      <c r="G11" s="37">
        <v>71.8</v>
      </c>
      <c r="H11" s="37">
        <f>71.8-55</f>
        <v>16.799999999999997</v>
      </c>
      <c r="I11" s="22">
        <v>175</v>
      </c>
      <c r="J11" s="23">
        <f t="shared" si="1"/>
        <v>2939.9999999999995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44518</v>
      </c>
      <c r="D12" s="21" t="s">
        <v>18</v>
      </c>
      <c r="E12" s="21" t="s">
        <v>275</v>
      </c>
      <c r="F12" s="37">
        <v>100</v>
      </c>
      <c r="G12" s="37">
        <v>130</v>
      </c>
      <c r="H12" s="37">
        <v>30</v>
      </c>
      <c r="I12" s="22">
        <v>125</v>
      </c>
      <c r="J12" s="23">
        <f t="shared" si="1"/>
        <v>3750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44518</v>
      </c>
      <c r="D13" s="21" t="s">
        <v>18</v>
      </c>
      <c r="E13" s="21" t="s">
        <v>282</v>
      </c>
      <c r="F13" s="37">
        <v>30</v>
      </c>
      <c r="G13" s="37">
        <v>48</v>
      </c>
      <c r="H13" s="37">
        <v>18</v>
      </c>
      <c r="I13" s="22">
        <v>50</v>
      </c>
      <c r="J13" s="23">
        <f t="shared" si="1"/>
        <v>900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44518</v>
      </c>
      <c r="D14" s="21" t="s">
        <v>18</v>
      </c>
      <c r="E14" s="21" t="s">
        <v>279</v>
      </c>
      <c r="F14" s="37">
        <v>10</v>
      </c>
      <c r="G14" s="37">
        <v>3</v>
      </c>
      <c r="H14" s="37">
        <v>-7</v>
      </c>
      <c r="I14" s="22">
        <v>100</v>
      </c>
      <c r="J14" s="23">
        <f t="shared" si="1"/>
        <v>-700</v>
      </c>
      <c r="K14" s="7"/>
      <c r="M14" s="5" t="s">
        <v>21</v>
      </c>
      <c r="V14" s="5">
        <f t="shared" si="2"/>
        <v>0</v>
      </c>
      <c r="W14" s="5">
        <f t="shared" si="3"/>
        <v>1</v>
      </c>
    </row>
    <row r="15" spans="1:23" x14ac:dyDescent="0.3">
      <c r="A15" s="6"/>
      <c r="B15" s="19">
        <v>10</v>
      </c>
      <c r="C15" s="20">
        <v>44522</v>
      </c>
      <c r="D15" s="21" t="s">
        <v>18</v>
      </c>
      <c r="E15" s="21" t="s">
        <v>281</v>
      </c>
      <c r="F15" s="37">
        <v>300</v>
      </c>
      <c r="G15" s="37">
        <v>590</v>
      </c>
      <c r="H15" s="37">
        <f>590-300</f>
        <v>290</v>
      </c>
      <c r="I15" s="22">
        <v>50</v>
      </c>
      <c r="J15" s="23">
        <f t="shared" si="1"/>
        <v>14500</v>
      </c>
      <c r="K15" s="7"/>
      <c r="V15" s="5">
        <f>IF($J15&gt;0,1,0)</f>
        <v>1</v>
      </c>
      <c r="W15" s="5">
        <f>IF($J15&lt;0,1,0)</f>
        <v>0</v>
      </c>
    </row>
    <row r="16" spans="1:23" x14ac:dyDescent="0.3">
      <c r="A16" s="6"/>
      <c r="B16" s="19">
        <v>11</v>
      </c>
      <c r="C16" s="20">
        <v>44525</v>
      </c>
      <c r="D16" s="21" t="s">
        <v>18</v>
      </c>
      <c r="E16" s="21" t="s">
        <v>281</v>
      </c>
      <c r="F16" s="37">
        <v>25</v>
      </c>
      <c r="G16" s="37">
        <v>60</v>
      </c>
      <c r="H16" s="37">
        <f>60-25</f>
        <v>35</v>
      </c>
      <c r="I16" s="22">
        <v>50</v>
      </c>
      <c r="J16" s="23">
        <f t="shared" si="1"/>
        <v>1750</v>
      </c>
      <c r="K16" s="7"/>
      <c r="V16" s="5">
        <f>IF($J16&gt;0,1,0)</f>
        <v>1</v>
      </c>
      <c r="W16" s="5">
        <f>IF($J16&lt;0,1,0)</f>
        <v>0</v>
      </c>
    </row>
    <row r="17" spans="1:23" x14ac:dyDescent="0.3">
      <c r="A17" s="6"/>
      <c r="B17" s="19">
        <v>12</v>
      </c>
      <c r="C17" s="20">
        <v>44526</v>
      </c>
      <c r="D17" s="21" t="s">
        <v>18</v>
      </c>
      <c r="E17" s="21" t="s">
        <v>280</v>
      </c>
      <c r="F17" s="37">
        <v>60</v>
      </c>
      <c r="G17" s="37">
        <v>186</v>
      </c>
      <c r="H17" s="37">
        <f>186-60</f>
        <v>126</v>
      </c>
      <c r="I17" s="22">
        <v>100</v>
      </c>
      <c r="J17" s="23">
        <f t="shared" si="1"/>
        <v>12600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19">
        <v>13</v>
      </c>
      <c r="C18" s="20">
        <v>44526</v>
      </c>
      <c r="D18" s="21" t="s">
        <v>18</v>
      </c>
      <c r="E18" s="21" t="s">
        <v>284</v>
      </c>
      <c r="F18" s="37">
        <v>420</v>
      </c>
      <c r="G18" s="37">
        <v>540</v>
      </c>
      <c r="H18" s="37">
        <v>120</v>
      </c>
      <c r="I18" s="22">
        <v>25</v>
      </c>
      <c r="J18" s="23">
        <f t="shared" si="1"/>
        <v>3000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idden="1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hidden="1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hidden="1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hidden="1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58099.55</v>
      </c>
      <c r="K33" s="7"/>
      <c r="V33" s="5">
        <f>SUM(V6:V32)</f>
        <v>11</v>
      </c>
      <c r="W33" s="5">
        <f>SUM(W6:W32)</f>
        <v>2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3:H33"/>
    <mergeCell ref="M6:M7"/>
    <mergeCell ref="N6:N7"/>
    <mergeCell ref="O6:O7"/>
    <mergeCell ref="P6:P7"/>
    <mergeCell ref="Q6:Q7"/>
    <mergeCell ref="R6:R7"/>
  </mergeCells>
  <hyperlinks>
    <hyperlink ref="B33" r:id="rId1" xr:uid="{00000000-0004-0000-2400-000000000000}"/>
    <hyperlink ref="M1" location="MASTER!A1" display="Back" xr:uid="{00000000-0004-0000-2400-000001000000}"/>
  </hyperlinks>
  <pageMargins left="0" right="0" top="0" bottom="0" header="0" footer="0"/>
  <pageSetup paperSize="9" orientation="portrait"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W34"/>
  <sheetViews>
    <sheetView workbookViewId="0">
      <selection activeCell="O4" sqref="O4:O5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44531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v>16</v>
      </c>
      <c r="O4" s="108">
        <v>14</v>
      </c>
      <c r="P4" s="108">
        <f>W33</f>
        <v>2</v>
      </c>
      <c r="Q4" s="110">
        <v>0</v>
      </c>
      <c r="R4" s="94">
        <f>O4/N4</f>
        <v>0.875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44531</v>
      </c>
      <c r="D6" s="16" t="s">
        <v>18</v>
      </c>
      <c r="E6" s="16" t="s">
        <v>285</v>
      </c>
      <c r="F6" s="51">
        <v>3.7</v>
      </c>
      <c r="G6" s="51">
        <v>7.65</v>
      </c>
      <c r="H6" s="51">
        <f>7.65-3.7</f>
        <v>3.95</v>
      </c>
      <c r="I6" s="17">
        <v>4022</v>
      </c>
      <c r="J6" s="18">
        <f>H6*I6</f>
        <v>15886.900000000001</v>
      </c>
      <c r="K6" s="7"/>
      <c r="M6" s="88" t="s">
        <v>19</v>
      </c>
      <c r="N6" s="90">
        <f>SUM(N4:N5)</f>
        <v>16</v>
      </c>
      <c r="O6" s="90">
        <f>SUM(O4:O5)</f>
        <v>14</v>
      </c>
      <c r="P6" s="90">
        <f>SUM(P4:P5)</f>
        <v>2</v>
      </c>
      <c r="Q6" s="92">
        <f>SUM(Q4:Q5)</f>
        <v>0</v>
      </c>
      <c r="R6" s="94">
        <f t="shared" ref="R6" si="0">O6/N6</f>
        <v>0.875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44532</v>
      </c>
      <c r="D7" s="21" t="s">
        <v>18</v>
      </c>
      <c r="E7" s="21" t="s">
        <v>286</v>
      </c>
      <c r="F7" s="37">
        <v>15</v>
      </c>
      <c r="G7" s="37">
        <v>28</v>
      </c>
      <c r="H7" s="37">
        <f>28-15</f>
        <v>13</v>
      </c>
      <c r="I7" s="22">
        <v>50</v>
      </c>
      <c r="J7" s="23">
        <f t="shared" ref="J7:J32" si="1">H7*I7</f>
        <v>650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44532</v>
      </c>
      <c r="D8" s="21" t="s">
        <v>18</v>
      </c>
      <c r="E8" s="21" t="s">
        <v>287</v>
      </c>
      <c r="F8" s="37">
        <v>25</v>
      </c>
      <c r="G8" s="37">
        <v>100</v>
      </c>
      <c r="H8" s="37">
        <f>100-25</f>
        <v>75</v>
      </c>
      <c r="I8" s="22">
        <v>100</v>
      </c>
      <c r="J8" s="23">
        <f t="shared" si="1"/>
        <v>7500</v>
      </c>
      <c r="K8" s="7"/>
      <c r="M8" s="67" t="s">
        <v>20</v>
      </c>
      <c r="N8" s="68"/>
      <c r="O8" s="69"/>
      <c r="P8" s="76">
        <f>R6</f>
        <v>0.875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44536</v>
      </c>
      <c r="D9" s="21" t="s">
        <v>18</v>
      </c>
      <c r="E9" s="21" t="s">
        <v>288</v>
      </c>
      <c r="F9" s="37">
        <v>8</v>
      </c>
      <c r="G9" s="37">
        <v>13.3</v>
      </c>
      <c r="H9" s="37">
        <f>13.3-8</f>
        <v>5.3000000000000007</v>
      </c>
      <c r="I9" s="22">
        <v>1800</v>
      </c>
      <c r="J9" s="23">
        <f t="shared" si="1"/>
        <v>9540.0000000000018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44537</v>
      </c>
      <c r="D10" s="21" t="s">
        <v>18</v>
      </c>
      <c r="E10" s="21" t="s">
        <v>289</v>
      </c>
      <c r="F10" s="37">
        <v>180</v>
      </c>
      <c r="G10" s="37">
        <v>140</v>
      </c>
      <c r="H10" s="37">
        <v>-40</v>
      </c>
      <c r="I10" s="22">
        <v>50</v>
      </c>
      <c r="J10" s="23">
        <f t="shared" si="1"/>
        <v>-2000</v>
      </c>
      <c r="K10" s="7"/>
      <c r="M10" s="73"/>
      <c r="N10" s="74"/>
      <c r="O10" s="75"/>
      <c r="P10" s="82"/>
      <c r="Q10" s="83"/>
      <c r="R10" s="84"/>
      <c r="V10" s="5">
        <f t="shared" si="2"/>
        <v>0</v>
      </c>
      <c r="W10" s="5">
        <f t="shared" si="3"/>
        <v>1</v>
      </c>
    </row>
    <row r="11" spans="1:23" x14ac:dyDescent="0.3">
      <c r="A11" s="6"/>
      <c r="B11" s="19">
        <v>6</v>
      </c>
      <c r="C11" s="20">
        <v>44538</v>
      </c>
      <c r="D11" s="21" t="s">
        <v>18</v>
      </c>
      <c r="E11" s="21" t="s">
        <v>290</v>
      </c>
      <c r="F11" s="37">
        <v>27</v>
      </c>
      <c r="G11" s="37">
        <v>29.15</v>
      </c>
      <c r="H11" s="37">
        <v>2.15</v>
      </c>
      <c r="I11" s="22">
        <v>500</v>
      </c>
      <c r="J11" s="23">
        <f t="shared" si="1"/>
        <v>1075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44538</v>
      </c>
      <c r="D12" s="21" t="s">
        <v>18</v>
      </c>
      <c r="E12" s="21" t="s">
        <v>291</v>
      </c>
      <c r="F12" s="37">
        <v>0.8</v>
      </c>
      <c r="G12" s="37">
        <v>1.75</v>
      </c>
      <c r="H12" s="37">
        <f>1.75-0.8</f>
        <v>0.95</v>
      </c>
      <c r="I12" s="22">
        <v>16000</v>
      </c>
      <c r="J12" s="23">
        <f t="shared" si="1"/>
        <v>15200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44539</v>
      </c>
      <c r="D13" s="21" t="s">
        <v>18</v>
      </c>
      <c r="E13" s="21" t="s">
        <v>292</v>
      </c>
      <c r="F13" s="37">
        <v>20</v>
      </c>
      <c r="G13" s="37">
        <v>72</v>
      </c>
      <c r="H13" s="37">
        <f>72-20</f>
        <v>52</v>
      </c>
      <c r="I13" s="22">
        <v>50</v>
      </c>
      <c r="J13" s="23">
        <f t="shared" si="1"/>
        <v>2600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44543</v>
      </c>
      <c r="D14" s="21" t="s">
        <v>18</v>
      </c>
      <c r="E14" s="21" t="s">
        <v>293</v>
      </c>
      <c r="F14" s="37">
        <v>100</v>
      </c>
      <c r="G14" s="37">
        <v>60</v>
      </c>
      <c r="H14" s="37">
        <v>-30</v>
      </c>
      <c r="I14" s="22">
        <v>150</v>
      </c>
      <c r="J14" s="23">
        <f t="shared" si="1"/>
        <v>-4500</v>
      </c>
      <c r="K14" s="7"/>
      <c r="M14" s="5" t="s">
        <v>21</v>
      </c>
      <c r="V14" s="5">
        <f t="shared" si="2"/>
        <v>0</v>
      </c>
      <c r="W14" s="5">
        <f t="shared" si="3"/>
        <v>1</v>
      </c>
    </row>
    <row r="15" spans="1:23" x14ac:dyDescent="0.3">
      <c r="A15" s="6"/>
      <c r="B15" s="19">
        <v>10</v>
      </c>
      <c r="C15" s="20">
        <v>44544</v>
      </c>
      <c r="D15" s="21" t="s">
        <v>18</v>
      </c>
      <c r="E15" s="21" t="s">
        <v>294</v>
      </c>
      <c r="F15" s="37">
        <v>55</v>
      </c>
      <c r="G15" s="37">
        <v>90</v>
      </c>
      <c r="H15" s="37">
        <f>90-55</f>
        <v>35</v>
      </c>
      <c r="I15" s="22">
        <v>275</v>
      </c>
      <c r="J15" s="23">
        <f t="shared" si="1"/>
        <v>9625</v>
      </c>
      <c r="K15" s="7"/>
      <c r="V15" s="5">
        <f>IF($J15&gt;0,1,0)</f>
        <v>1</v>
      </c>
      <c r="W15" s="5">
        <f>IF($J15&lt;0,1,0)</f>
        <v>0</v>
      </c>
    </row>
    <row r="16" spans="1:23" x14ac:dyDescent="0.3">
      <c r="A16" s="6"/>
      <c r="B16" s="19">
        <v>11</v>
      </c>
      <c r="C16" s="20">
        <v>44545</v>
      </c>
      <c r="D16" s="21" t="s">
        <v>18</v>
      </c>
      <c r="E16" s="21" t="s">
        <v>295</v>
      </c>
      <c r="F16" s="37">
        <v>140</v>
      </c>
      <c r="G16" s="37">
        <v>343</v>
      </c>
      <c r="H16" s="37">
        <f>342-140</f>
        <v>202</v>
      </c>
      <c r="I16" s="22">
        <v>125</v>
      </c>
      <c r="J16" s="23">
        <f t="shared" si="1"/>
        <v>25250</v>
      </c>
      <c r="K16" s="7"/>
      <c r="V16" s="5">
        <f>IF($J16&gt;0,1,0)</f>
        <v>1</v>
      </c>
      <c r="W16" s="5">
        <f>IF($J16&lt;0,1,0)</f>
        <v>0</v>
      </c>
    </row>
    <row r="17" spans="1:23" x14ac:dyDescent="0.3">
      <c r="A17" s="6"/>
      <c r="B17" s="19">
        <v>12</v>
      </c>
      <c r="C17" s="20">
        <v>44545</v>
      </c>
      <c r="D17" s="21" t="s">
        <v>18</v>
      </c>
      <c r="E17" s="21" t="s">
        <v>296</v>
      </c>
      <c r="F17" s="37">
        <v>50</v>
      </c>
      <c r="G17" s="37">
        <v>98</v>
      </c>
      <c r="H17" s="37">
        <f>98-50</f>
        <v>48</v>
      </c>
      <c r="I17" s="22">
        <v>250</v>
      </c>
      <c r="J17" s="23">
        <f t="shared" si="1"/>
        <v>12000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19">
        <v>13</v>
      </c>
      <c r="C18" s="20">
        <v>44546</v>
      </c>
      <c r="D18" s="21" t="s">
        <v>18</v>
      </c>
      <c r="E18" s="21" t="s">
        <v>297</v>
      </c>
      <c r="F18" s="37">
        <v>30</v>
      </c>
      <c r="G18" s="37">
        <v>125</v>
      </c>
      <c r="H18" s="37">
        <f>125-30</f>
        <v>95</v>
      </c>
      <c r="I18" s="22">
        <v>50</v>
      </c>
      <c r="J18" s="23">
        <f t="shared" si="1"/>
        <v>4750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9">
        <v>14</v>
      </c>
      <c r="C19" s="20">
        <v>44547</v>
      </c>
      <c r="D19" s="21" t="s">
        <v>18</v>
      </c>
      <c r="E19" s="21" t="s">
        <v>298</v>
      </c>
      <c r="F19" s="37">
        <v>125</v>
      </c>
      <c r="G19" s="37">
        <v>135</v>
      </c>
      <c r="H19" s="37">
        <v>10</v>
      </c>
      <c r="I19" s="22">
        <v>125</v>
      </c>
      <c r="J19" s="23">
        <f t="shared" si="1"/>
        <v>1250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19">
        <v>15</v>
      </c>
      <c r="C20" s="20">
        <v>44551</v>
      </c>
      <c r="D20" s="21" t="s">
        <v>18</v>
      </c>
      <c r="E20" s="21" t="s">
        <v>299</v>
      </c>
      <c r="F20" s="37">
        <v>6</v>
      </c>
      <c r="G20" s="37">
        <v>7.35</v>
      </c>
      <c r="H20" s="37">
        <v>1.35</v>
      </c>
      <c r="I20" s="22">
        <v>2600</v>
      </c>
      <c r="J20" s="23">
        <f t="shared" si="1"/>
        <v>3510.0000000000005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9">
        <v>16</v>
      </c>
      <c r="C21" s="20">
        <v>44553</v>
      </c>
      <c r="D21" s="21" t="s">
        <v>18</v>
      </c>
      <c r="E21" s="21" t="s">
        <v>300</v>
      </c>
      <c r="F21" s="37">
        <v>25</v>
      </c>
      <c r="G21" s="37">
        <v>132</v>
      </c>
      <c r="H21" s="37">
        <f>132-25</f>
        <v>107</v>
      </c>
      <c r="I21" s="22">
        <v>50</v>
      </c>
      <c r="J21" s="23">
        <f t="shared" si="1"/>
        <v>5350</v>
      </c>
      <c r="K21" s="7"/>
      <c r="O21" s="24"/>
      <c r="P21" s="24"/>
      <c r="Q21" s="24"/>
      <c r="R21" s="24"/>
      <c r="V21" s="5">
        <f t="shared" si="2"/>
        <v>1</v>
      </c>
      <c r="W21" s="5">
        <f t="shared" si="3"/>
        <v>0</v>
      </c>
    </row>
    <row r="22" spans="1:23" x14ac:dyDescent="0.3">
      <c r="A22" s="6"/>
      <c r="B22" s="19">
        <v>17</v>
      </c>
      <c r="C22" s="20">
        <v>44558</v>
      </c>
      <c r="D22" s="21" t="s">
        <v>18</v>
      </c>
      <c r="E22" s="21" t="s">
        <v>301</v>
      </c>
      <c r="F22" s="37">
        <v>3.8</v>
      </c>
      <c r="G22" s="37">
        <v>13</v>
      </c>
      <c r="H22" s="37">
        <f>13-3.8</f>
        <v>9.1999999999999993</v>
      </c>
      <c r="I22" s="22">
        <v>1000</v>
      </c>
      <c r="J22" s="23">
        <f t="shared" si="1"/>
        <v>9200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9">
        <v>18</v>
      </c>
      <c r="C23" s="20">
        <v>44558</v>
      </c>
      <c r="D23" s="21" t="s">
        <v>18</v>
      </c>
      <c r="E23" s="21" t="s">
        <v>302</v>
      </c>
      <c r="F23" s="37">
        <v>4.5</v>
      </c>
      <c r="G23" s="37">
        <v>4.5999999999999996</v>
      </c>
      <c r="H23" s="37">
        <v>0.1</v>
      </c>
      <c r="I23" s="22">
        <v>1200</v>
      </c>
      <c r="J23" s="23">
        <f t="shared" si="1"/>
        <v>120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19">
        <v>19</v>
      </c>
      <c r="C24" s="20">
        <v>44560</v>
      </c>
      <c r="D24" s="21" t="s">
        <v>18</v>
      </c>
      <c r="E24" s="21" t="s">
        <v>303</v>
      </c>
      <c r="F24" s="37">
        <v>25</v>
      </c>
      <c r="G24" s="37">
        <v>70</v>
      </c>
      <c r="H24" s="37">
        <f>70-25</f>
        <v>45</v>
      </c>
      <c r="I24" s="22">
        <v>50</v>
      </c>
      <c r="J24" s="23">
        <f t="shared" si="1"/>
        <v>2250</v>
      </c>
      <c r="K24" s="7"/>
      <c r="V24" s="5">
        <f t="shared" si="2"/>
        <v>1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idden="1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hidden="1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hidden="1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hidden="1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119256.9</v>
      </c>
      <c r="K33" s="7"/>
      <c r="V33" s="5">
        <f>SUM(V6:V32)</f>
        <v>17</v>
      </c>
      <c r="W33" s="5">
        <f>SUM(W6:W32)</f>
        <v>2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00000000-0004-0000-2500-000000000000}"/>
    <hyperlink ref="M1" location="MASTER!A1" display="Back" xr:uid="{00000000-0004-0000-2500-000001000000}"/>
  </hyperlinks>
  <pageMargins left="0" right="0" top="0" bottom="0" header="0" footer="0"/>
  <pageSetup paperSize="9" orientation="portrait"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W34"/>
  <sheetViews>
    <sheetView workbookViewId="0">
      <selection activeCell="P4" sqref="P4:P5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44562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20</v>
      </c>
      <c r="O4" s="108">
        <f>V33</f>
        <v>19</v>
      </c>
      <c r="P4" s="108">
        <f>W33</f>
        <v>1</v>
      </c>
      <c r="Q4" s="110">
        <v>0</v>
      </c>
      <c r="R4" s="94">
        <f>O4/N4</f>
        <v>0.95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44564</v>
      </c>
      <c r="D6" s="16" t="s">
        <v>18</v>
      </c>
      <c r="E6" s="16" t="s">
        <v>304</v>
      </c>
      <c r="F6" s="51">
        <v>6.2</v>
      </c>
      <c r="G6" s="51">
        <v>7.7</v>
      </c>
      <c r="H6" s="51">
        <f>7.7-6.2</f>
        <v>1.5</v>
      </c>
      <c r="I6" s="17">
        <v>2900</v>
      </c>
      <c r="J6" s="18">
        <f>H6*I6</f>
        <v>4350</v>
      </c>
      <c r="K6" s="7"/>
      <c r="M6" s="88" t="s">
        <v>19</v>
      </c>
      <c r="N6" s="90">
        <f>SUM(N4:N5)</f>
        <v>20</v>
      </c>
      <c r="O6" s="90">
        <f>SUM(O4:O5)</f>
        <v>19</v>
      </c>
      <c r="P6" s="90">
        <f>SUM(P4:P5)</f>
        <v>1</v>
      </c>
      <c r="Q6" s="92">
        <f>SUM(Q4:Q5)</f>
        <v>0</v>
      </c>
      <c r="R6" s="94">
        <f t="shared" ref="R6" si="0">O6/N6</f>
        <v>0.95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44565</v>
      </c>
      <c r="D7" s="21" t="s">
        <v>18</v>
      </c>
      <c r="E7" s="21" t="s">
        <v>305</v>
      </c>
      <c r="F7" s="37">
        <v>60</v>
      </c>
      <c r="G7" s="37">
        <v>68</v>
      </c>
      <c r="H7" s="37">
        <v>8</v>
      </c>
      <c r="I7" s="22">
        <v>200</v>
      </c>
      <c r="J7" s="23">
        <f t="shared" ref="J7:J32" si="1">H7*I7</f>
        <v>1600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44566</v>
      </c>
      <c r="D8" s="21" t="s">
        <v>18</v>
      </c>
      <c r="E8" s="21" t="s">
        <v>306</v>
      </c>
      <c r="F8" s="37">
        <v>130</v>
      </c>
      <c r="G8" s="37">
        <v>364</v>
      </c>
      <c r="H8" s="37">
        <f>364-130</f>
        <v>234</v>
      </c>
      <c r="I8" s="22">
        <v>50</v>
      </c>
      <c r="J8" s="23">
        <f t="shared" si="1"/>
        <v>11700</v>
      </c>
      <c r="K8" s="7"/>
      <c r="M8" s="67" t="s">
        <v>20</v>
      </c>
      <c r="N8" s="68"/>
      <c r="O8" s="69"/>
      <c r="P8" s="76">
        <f>R6</f>
        <v>0.95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44567</v>
      </c>
      <c r="D9" s="21" t="s">
        <v>18</v>
      </c>
      <c r="E9" s="21" t="s">
        <v>307</v>
      </c>
      <c r="F9" s="37">
        <v>20</v>
      </c>
      <c r="G9" s="37">
        <v>33</v>
      </c>
      <c r="H9" s="37">
        <v>13</v>
      </c>
      <c r="I9" s="22">
        <v>50</v>
      </c>
      <c r="J9" s="23">
        <f t="shared" si="1"/>
        <v>650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44567</v>
      </c>
      <c r="D10" s="21" t="s">
        <v>18</v>
      </c>
      <c r="E10" s="21" t="s">
        <v>308</v>
      </c>
      <c r="F10" s="37">
        <v>10</v>
      </c>
      <c r="G10" s="37">
        <v>22</v>
      </c>
      <c r="H10" s="37">
        <v>12</v>
      </c>
      <c r="I10" s="22">
        <v>50</v>
      </c>
      <c r="J10" s="23">
        <f t="shared" si="1"/>
        <v>600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44571</v>
      </c>
      <c r="D11" s="21" t="s">
        <v>18</v>
      </c>
      <c r="E11" s="21" t="s">
        <v>309</v>
      </c>
      <c r="F11" s="37">
        <v>14</v>
      </c>
      <c r="G11" s="37">
        <v>21.5</v>
      </c>
      <c r="H11" s="37">
        <f>21.5-14</f>
        <v>7.5</v>
      </c>
      <c r="I11" s="22">
        <v>1250</v>
      </c>
      <c r="J11" s="23">
        <f t="shared" si="1"/>
        <v>9375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44572</v>
      </c>
      <c r="D12" s="21" t="s">
        <v>18</v>
      </c>
      <c r="E12" s="21" t="s">
        <v>310</v>
      </c>
      <c r="F12" s="37">
        <v>80</v>
      </c>
      <c r="G12" s="37">
        <v>177</v>
      </c>
      <c r="H12" s="37">
        <f>177-80</f>
        <v>97</v>
      </c>
      <c r="I12" s="22">
        <v>50</v>
      </c>
      <c r="J12" s="23">
        <f t="shared" si="1"/>
        <v>4850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44573</v>
      </c>
      <c r="D13" s="21" t="s">
        <v>18</v>
      </c>
      <c r="E13" s="21" t="s">
        <v>275</v>
      </c>
      <c r="F13" s="37">
        <v>110</v>
      </c>
      <c r="G13" s="37">
        <v>165</v>
      </c>
      <c r="H13" s="37">
        <f>165-110</f>
        <v>55</v>
      </c>
      <c r="I13" s="22">
        <v>125</v>
      </c>
      <c r="J13" s="23">
        <f t="shared" si="1"/>
        <v>6875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44574</v>
      </c>
      <c r="D14" s="21" t="s">
        <v>18</v>
      </c>
      <c r="E14" s="21" t="s">
        <v>311</v>
      </c>
      <c r="F14" s="37">
        <v>20</v>
      </c>
      <c r="G14" s="37">
        <v>33</v>
      </c>
      <c r="H14" s="37">
        <v>13</v>
      </c>
      <c r="I14" s="22">
        <v>50</v>
      </c>
      <c r="J14" s="23">
        <f t="shared" si="1"/>
        <v>650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44574</v>
      </c>
      <c r="D15" s="21" t="s">
        <v>18</v>
      </c>
      <c r="E15" s="21" t="s">
        <v>312</v>
      </c>
      <c r="F15" s="37">
        <v>3</v>
      </c>
      <c r="G15" s="37">
        <v>4.3</v>
      </c>
      <c r="H15" s="37">
        <v>1.3</v>
      </c>
      <c r="I15" s="22">
        <v>6750</v>
      </c>
      <c r="J15" s="23">
        <f t="shared" si="1"/>
        <v>8775</v>
      </c>
      <c r="K15" s="7"/>
      <c r="V15" s="5">
        <f>IF($J15&gt;0,1,0)</f>
        <v>1</v>
      </c>
      <c r="W15" s="5">
        <f>IF($J15&lt;0,1,0)</f>
        <v>0</v>
      </c>
    </row>
    <row r="16" spans="1:23" x14ac:dyDescent="0.3">
      <c r="A16" s="6"/>
      <c r="B16" s="19">
        <v>11</v>
      </c>
      <c r="C16" s="20">
        <v>44578</v>
      </c>
      <c r="D16" s="21" t="s">
        <v>18</v>
      </c>
      <c r="E16" s="21" t="s">
        <v>313</v>
      </c>
      <c r="F16" s="37">
        <v>32</v>
      </c>
      <c r="G16" s="37">
        <v>50</v>
      </c>
      <c r="H16" s="37">
        <f>50-32</f>
        <v>18</v>
      </c>
      <c r="I16" s="22">
        <v>300</v>
      </c>
      <c r="J16" s="23">
        <f t="shared" si="1"/>
        <v>5400</v>
      </c>
      <c r="K16" s="7"/>
      <c r="V16" s="5">
        <f>IF($J16&gt;0,1,0)</f>
        <v>1</v>
      </c>
      <c r="W16" s="5">
        <f>IF($J16&lt;0,1,0)</f>
        <v>0</v>
      </c>
    </row>
    <row r="17" spans="1:23" x14ac:dyDescent="0.3">
      <c r="A17" s="6"/>
      <c r="B17" s="19">
        <v>12</v>
      </c>
      <c r="C17" s="20">
        <v>44579</v>
      </c>
      <c r="D17" s="21" t="s">
        <v>18</v>
      </c>
      <c r="E17" s="21" t="s">
        <v>314</v>
      </c>
      <c r="F17" s="37">
        <v>4</v>
      </c>
      <c r="G17" s="37">
        <v>5.5</v>
      </c>
      <c r="H17" s="37">
        <v>1.5</v>
      </c>
      <c r="I17" s="22">
        <v>2850</v>
      </c>
      <c r="J17" s="23">
        <f t="shared" si="1"/>
        <v>4275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19">
        <v>13</v>
      </c>
      <c r="C18" s="20">
        <v>44579</v>
      </c>
      <c r="D18" s="21" t="s">
        <v>18</v>
      </c>
      <c r="E18" s="21" t="s">
        <v>315</v>
      </c>
      <c r="F18" s="37">
        <v>28</v>
      </c>
      <c r="G18" s="37">
        <v>17</v>
      </c>
      <c r="H18" s="37">
        <v>-11</v>
      </c>
      <c r="I18" s="22">
        <v>100</v>
      </c>
      <c r="J18" s="23">
        <f t="shared" si="1"/>
        <v>-1100</v>
      </c>
      <c r="K18" s="7"/>
      <c r="V18" s="5">
        <f t="shared" si="2"/>
        <v>0</v>
      </c>
      <c r="W18" s="5">
        <f t="shared" si="3"/>
        <v>1</v>
      </c>
    </row>
    <row r="19" spans="1:23" x14ac:dyDescent="0.3">
      <c r="A19" s="6"/>
      <c r="B19" s="19">
        <v>14</v>
      </c>
      <c r="C19" s="20">
        <v>44581</v>
      </c>
      <c r="D19" s="21" t="s">
        <v>18</v>
      </c>
      <c r="E19" s="21" t="s">
        <v>316</v>
      </c>
      <c r="F19" s="37">
        <v>25</v>
      </c>
      <c r="G19" s="37">
        <v>43.5</v>
      </c>
      <c r="H19" s="37">
        <f>43.5-25</f>
        <v>18.5</v>
      </c>
      <c r="I19" s="22">
        <v>50</v>
      </c>
      <c r="J19" s="23">
        <f t="shared" si="1"/>
        <v>925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19">
        <v>15</v>
      </c>
      <c r="C20" s="20">
        <v>44582</v>
      </c>
      <c r="D20" s="21" t="s">
        <v>18</v>
      </c>
      <c r="E20" s="21" t="s">
        <v>317</v>
      </c>
      <c r="F20" s="37">
        <v>125</v>
      </c>
      <c r="G20" s="37">
        <v>183</v>
      </c>
      <c r="H20" s="37">
        <f>183-125</f>
        <v>58</v>
      </c>
      <c r="I20" s="22">
        <v>100</v>
      </c>
      <c r="J20" s="23">
        <f t="shared" si="1"/>
        <v>5800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9">
        <v>16</v>
      </c>
      <c r="C21" s="20">
        <v>44585</v>
      </c>
      <c r="D21" s="21" t="s">
        <v>18</v>
      </c>
      <c r="E21" s="21" t="s">
        <v>318</v>
      </c>
      <c r="F21" s="37">
        <v>3.1</v>
      </c>
      <c r="G21" s="37">
        <v>5.5</v>
      </c>
      <c r="H21" s="37">
        <f>5.5-3.1</f>
        <v>2.4</v>
      </c>
      <c r="I21" s="22">
        <v>2900</v>
      </c>
      <c r="J21" s="23">
        <f t="shared" si="1"/>
        <v>6960</v>
      </c>
      <c r="K21" s="7"/>
      <c r="O21" s="24"/>
      <c r="P21" s="24"/>
      <c r="Q21" s="24"/>
      <c r="R21" s="24"/>
      <c r="V21" s="5">
        <f t="shared" si="2"/>
        <v>1</v>
      </c>
      <c r="W21" s="5">
        <f t="shared" si="3"/>
        <v>0</v>
      </c>
    </row>
    <row r="22" spans="1:23" x14ac:dyDescent="0.3">
      <c r="A22" s="6"/>
      <c r="B22" s="19">
        <v>17</v>
      </c>
      <c r="C22" s="20">
        <v>44586</v>
      </c>
      <c r="D22" s="21" t="s">
        <v>18</v>
      </c>
      <c r="E22" s="21" t="s">
        <v>319</v>
      </c>
      <c r="F22" s="37">
        <v>65</v>
      </c>
      <c r="G22" s="37">
        <v>96</v>
      </c>
      <c r="H22" s="37">
        <f>96-65</f>
        <v>31</v>
      </c>
      <c r="I22" s="22">
        <v>100</v>
      </c>
      <c r="J22" s="23">
        <f t="shared" si="1"/>
        <v>3100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9">
        <v>18</v>
      </c>
      <c r="C23" s="20">
        <v>44588</v>
      </c>
      <c r="D23" s="21" t="s">
        <v>18</v>
      </c>
      <c r="E23" s="21" t="s">
        <v>280</v>
      </c>
      <c r="F23" s="37">
        <v>13</v>
      </c>
      <c r="G23" s="37">
        <v>25</v>
      </c>
      <c r="H23" s="37">
        <f>25-13</f>
        <v>12</v>
      </c>
      <c r="I23" s="22">
        <v>100</v>
      </c>
      <c r="J23" s="23">
        <f t="shared" si="1"/>
        <v>1200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19">
        <v>19</v>
      </c>
      <c r="C24" s="20">
        <v>44588</v>
      </c>
      <c r="D24" s="21" t="s">
        <v>18</v>
      </c>
      <c r="E24" s="21" t="s">
        <v>320</v>
      </c>
      <c r="F24" s="37">
        <v>170</v>
      </c>
      <c r="G24" s="37">
        <v>266</v>
      </c>
      <c r="H24" s="37">
        <f>266-170</f>
        <v>96</v>
      </c>
      <c r="I24" s="22">
        <v>50</v>
      </c>
      <c r="J24" s="23">
        <f t="shared" si="1"/>
        <v>4800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9">
        <v>20</v>
      </c>
      <c r="C25" s="20">
        <v>44588</v>
      </c>
      <c r="D25" s="21" t="s">
        <v>18</v>
      </c>
      <c r="E25" s="21" t="s">
        <v>321</v>
      </c>
      <c r="F25" s="37">
        <v>50</v>
      </c>
      <c r="G25" s="37">
        <v>100</v>
      </c>
      <c r="H25" s="21">
        <v>50</v>
      </c>
      <c r="I25" s="22">
        <v>50</v>
      </c>
      <c r="J25" s="23">
        <f t="shared" si="1"/>
        <v>2500</v>
      </c>
      <c r="K25" s="7"/>
      <c r="V25" s="5">
        <f t="shared" si="2"/>
        <v>1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idden="1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hidden="1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hidden="1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hidden="1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83285</v>
      </c>
      <c r="K33" s="7"/>
      <c r="V33" s="5">
        <f>SUM(V6:V32)</f>
        <v>19</v>
      </c>
      <c r="W33" s="5">
        <f>SUM(W6:W32)</f>
        <v>1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3:H33"/>
    <mergeCell ref="M6:M7"/>
    <mergeCell ref="N6:N7"/>
    <mergeCell ref="O6:O7"/>
    <mergeCell ref="P6:P7"/>
    <mergeCell ref="Q6:Q7"/>
    <mergeCell ref="R6:R7"/>
  </mergeCells>
  <hyperlinks>
    <hyperlink ref="B33" r:id="rId1" xr:uid="{00000000-0004-0000-2600-000000000000}"/>
    <hyperlink ref="M1" location="MASTER!A1" display="Back" xr:uid="{00000000-0004-0000-2600-000001000000}"/>
  </hyperlinks>
  <pageMargins left="0" right="0" top="0" bottom="0" header="0" footer="0"/>
  <pageSetup paperSize="9" orientation="portrait"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W34"/>
  <sheetViews>
    <sheetView workbookViewId="0">
      <selection activeCell="O19" sqref="O19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44593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11</v>
      </c>
      <c r="O4" s="108">
        <f>V33</f>
        <v>10</v>
      </c>
      <c r="P4" s="108">
        <f>W33</f>
        <v>1</v>
      </c>
      <c r="Q4" s="110">
        <v>0</v>
      </c>
      <c r="R4" s="94">
        <f>O4/N4</f>
        <v>0.90909090909090906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44593</v>
      </c>
      <c r="D6" s="16" t="s">
        <v>18</v>
      </c>
      <c r="E6" s="16" t="s">
        <v>322</v>
      </c>
      <c r="F6" s="51">
        <v>60</v>
      </c>
      <c r="G6" s="51">
        <v>86</v>
      </c>
      <c r="H6" s="51">
        <v>26</v>
      </c>
      <c r="I6" s="17">
        <v>100</v>
      </c>
      <c r="J6" s="18">
        <f>H6*I6</f>
        <v>2600</v>
      </c>
      <c r="K6" s="7"/>
      <c r="M6" s="88" t="s">
        <v>19</v>
      </c>
      <c r="N6" s="90">
        <f>SUM(N4:N5)</f>
        <v>11</v>
      </c>
      <c r="O6" s="90">
        <f>SUM(O4:O5)</f>
        <v>10</v>
      </c>
      <c r="P6" s="90">
        <f>SUM(P4:P5)</f>
        <v>1</v>
      </c>
      <c r="Q6" s="92">
        <f>SUM(Q4:Q5)</f>
        <v>0</v>
      </c>
      <c r="R6" s="94">
        <f t="shared" ref="R6" si="0">O6/N6</f>
        <v>0.90909090909090906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44593</v>
      </c>
      <c r="D7" s="21" t="s">
        <v>18</v>
      </c>
      <c r="E7" s="21" t="s">
        <v>323</v>
      </c>
      <c r="F7" s="37">
        <v>40</v>
      </c>
      <c r="G7" s="37">
        <v>65</v>
      </c>
      <c r="H7" s="37">
        <v>25</v>
      </c>
      <c r="I7" s="22">
        <v>50</v>
      </c>
      <c r="J7" s="23">
        <f t="shared" ref="J7:J32" si="1">H7*I7</f>
        <v>1250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44594</v>
      </c>
      <c r="D8" s="21" t="s">
        <v>18</v>
      </c>
      <c r="E8" s="21" t="s">
        <v>324</v>
      </c>
      <c r="F8" s="37">
        <v>16</v>
      </c>
      <c r="G8" s="37">
        <v>20.8</v>
      </c>
      <c r="H8" s="37">
        <v>4.8</v>
      </c>
      <c r="I8" s="22">
        <v>900</v>
      </c>
      <c r="J8" s="23">
        <f t="shared" si="1"/>
        <v>4320</v>
      </c>
      <c r="K8" s="7"/>
      <c r="M8" s="67" t="s">
        <v>20</v>
      </c>
      <c r="N8" s="68"/>
      <c r="O8" s="69"/>
      <c r="P8" s="76">
        <f>R6</f>
        <v>0.90909090909090906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44595</v>
      </c>
      <c r="D9" s="21" t="s">
        <v>18</v>
      </c>
      <c r="E9" s="21" t="s">
        <v>325</v>
      </c>
      <c r="F9" s="37">
        <v>20</v>
      </c>
      <c r="G9" s="37">
        <v>31.55</v>
      </c>
      <c r="H9" s="37">
        <v>11.55</v>
      </c>
      <c r="I9" s="22">
        <v>50</v>
      </c>
      <c r="J9" s="23">
        <f t="shared" si="1"/>
        <v>577.5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44595</v>
      </c>
      <c r="D10" s="21" t="s">
        <v>18</v>
      </c>
      <c r="E10" s="21" t="s">
        <v>326</v>
      </c>
      <c r="F10" s="37">
        <v>10</v>
      </c>
      <c r="G10" s="37">
        <v>6</v>
      </c>
      <c r="H10" s="37">
        <v>-4</v>
      </c>
      <c r="I10" s="22">
        <v>1375</v>
      </c>
      <c r="J10" s="23">
        <f t="shared" si="1"/>
        <v>-5500</v>
      </c>
      <c r="K10" s="7"/>
      <c r="M10" s="73"/>
      <c r="N10" s="74"/>
      <c r="O10" s="75"/>
      <c r="P10" s="82"/>
      <c r="Q10" s="83"/>
      <c r="R10" s="84"/>
      <c r="V10" s="5">
        <f t="shared" si="2"/>
        <v>0</v>
      </c>
      <c r="W10" s="5">
        <f t="shared" si="3"/>
        <v>1</v>
      </c>
    </row>
    <row r="11" spans="1:23" x14ac:dyDescent="0.3">
      <c r="A11" s="6"/>
      <c r="B11" s="19">
        <v>6</v>
      </c>
      <c r="C11" s="20">
        <v>44599</v>
      </c>
      <c r="D11" s="21" t="s">
        <v>18</v>
      </c>
      <c r="E11" s="21" t="s">
        <v>327</v>
      </c>
      <c r="F11" s="37">
        <v>21</v>
      </c>
      <c r="G11" s="37">
        <v>23.3</v>
      </c>
      <c r="H11" s="37">
        <v>2.2999999999999998</v>
      </c>
      <c r="I11" s="22">
        <v>600</v>
      </c>
      <c r="J11" s="23">
        <f t="shared" si="1"/>
        <v>1380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44603</v>
      </c>
      <c r="D12" s="21" t="s">
        <v>18</v>
      </c>
      <c r="E12" s="21" t="s">
        <v>328</v>
      </c>
      <c r="F12" s="37">
        <v>25</v>
      </c>
      <c r="G12" s="37">
        <v>29.8</v>
      </c>
      <c r="H12" s="37">
        <v>4.8</v>
      </c>
      <c r="I12" s="22">
        <v>425</v>
      </c>
      <c r="J12" s="23">
        <f t="shared" si="1"/>
        <v>2040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44610</v>
      </c>
      <c r="D13" s="21" t="s">
        <v>18</v>
      </c>
      <c r="E13" s="21" t="s">
        <v>329</v>
      </c>
      <c r="F13" s="37">
        <v>20</v>
      </c>
      <c r="G13" s="37">
        <v>25</v>
      </c>
      <c r="H13" s="37">
        <v>5</v>
      </c>
      <c r="I13" s="22">
        <v>650</v>
      </c>
      <c r="J13" s="23">
        <f t="shared" si="1"/>
        <v>3250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44610</v>
      </c>
      <c r="D14" s="21" t="s">
        <v>18</v>
      </c>
      <c r="E14" s="21" t="s">
        <v>330</v>
      </c>
      <c r="F14" s="37">
        <v>1</v>
      </c>
      <c r="G14" s="37">
        <v>1.45</v>
      </c>
      <c r="H14" s="37">
        <v>0.45</v>
      </c>
      <c r="I14" s="22">
        <v>11700</v>
      </c>
      <c r="J14" s="23">
        <f t="shared" si="1"/>
        <v>5265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44614</v>
      </c>
      <c r="D15" s="21" t="s">
        <v>18</v>
      </c>
      <c r="E15" s="21" t="s">
        <v>331</v>
      </c>
      <c r="F15" s="37">
        <v>8</v>
      </c>
      <c r="G15" s="37">
        <v>25</v>
      </c>
      <c r="H15" s="37">
        <f>25-8</f>
        <v>17</v>
      </c>
      <c r="I15" s="22">
        <v>1500</v>
      </c>
      <c r="J15" s="23">
        <f t="shared" si="1"/>
        <v>25500</v>
      </c>
      <c r="K15" s="7"/>
      <c r="V15" s="5">
        <f>IF($J15&gt;0,1,0)</f>
        <v>1</v>
      </c>
      <c r="W15" s="5">
        <f>IF($J15&lt;0,1,0)</f>
        <v>0</v>
      </c>
    </row>
    <row r="16" spans="1:23" x14ac:dyDescent="0.3">
      <c r="A16" s="6"/>
      <c r="B16" s="19">
        <v>11</v>
      </c>
      <c r="C16" s="20">
        <v>44616</v>
      </c>
      <c r="D16" s="21" t="s">
        <v>18</v>
      </c>
      <c r="E16" s="21" t="s">
        <v>195</v>
      </c>
      <c r="F16" s="37">
        <v>70</v>
      </c>
      <c r="G16" s="37">
        <v>603</v>
      </c>
      <c r="H16" s="37">
        <f>603-70</f>
        <v>533</v>
      </c>
      <c r="I16" s="22">
        <v>50</v>
      </c>
      <c r="J16" s="23">
        <f t="shared" si="1"/>
        <v>26650</v>
      </c>
      <c r="K16" s="7"/>
      <c r="V16" s="5">
        <f>IF($J16&gt;0,1,0)</f>
        <v>1</v>
      </c>
      <c r="W16" s="5">
        <f>IF($J16&lt;0,1,0)</f>
        <v>0</v>
      </c>
    </row>
    <row r="17" spans="1:23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idden="1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hidden="1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hidden="1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hidden="1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67332.5</v>
      </c>
      <c r="K33" s="7"/>
      <c r="V33" s="5">
        <f>SUM(V6:V32)</f>
        <v>10</v>
      </c>
      <c r="W33" s="5">
        <f>SUM(W6:W32)</f>
        <v>1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3:H33"/>
    <mergeCell ref="M6:M7"/>
    <mergeCell ref="N6:N7"/>
    <mergeCell ref="O6:O7"/>
    <mergeCell ref="P6:P7"/>
    <mergeCell ref="Q6:Q7"/>
    <mergeCell ref="R6:R7"/>
  </mergeCells>
  <hyperlinks>
    <hyperlink ref="B33" r:id="rId1" xr:uid="{00000000-0004-0000-2700-000000000000}"/>
    <hyperlink ref="M1" location="MASTER!A1" display="Back" xr:uid="{00000000-0004-0000-2700-000001000000}"/>
  </hyperlinks>
  <pageMargins left="0" right="0" top="0" bottom="0" header="0" footer="0"/>
  <pageSetup paperSize="9" orientation="portrait"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W34"/>
  <sheetViews>
    <sheetView topLeftCell="A13" workbookViewId="0">
      <selection activeCell="N12" sqref="N12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44621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15</v>
      </c>
      <c r="O4" s="108">
        <f>V33</f>
        <v>15</v>
      </c>
      <c r="P4" s="108">
        <f>W33</f>
        <v>0</v>
      </c>
      <c r="Q4" s="110"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44622</v>
      </c>
      <c r="D6" s="16" t="s">
        <v>18</v>
      </c>
      <c r="E6" s="16" t="s">
        <v>332</v>
      </c>
      <c r="F6" s="51">
        <v>140</v>
      </c>
      <c r="G6" s="51">
        <v>250</v>
      </c>
      <c r="H6" s="51">
        <f>250-140</f>
        <v>110</v>
      </c>
      <c r="I6" s="17">
        <v>125</v>
      </c>
      <c r="J6" s="18">
        <f>H6*I6</f>
        <v>13750</v>
      </c>
      <c r="K6" s="7"/>
      <c r="M6" s="88" t="s">
        <v>19</v>
      </c>
      <c r="N6" s="90">
        <f>SUM(N4:N5)</f>
        <v>15</v>
      </c>
      <c r="O6" s="90">
        <f>SUM(O4:O5)</f>
        <v>15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44622</v>
      </c>
      <c r="D7" s="21" t="s">
        <v>18</v>
      </c>
      <c r="E7" s="21" t="s">
        <v>333</v>
      </c>
      <c r="F7" s="37">
        <v>360</v>
      </c>
      <c r="G7" s="37">
        <v>500</v>
      </c>
      <c r="H7" s="37">
        <f>500-360</f>
        <v>140</v>
      </c>
      <c r="I7" s="22">
        <v>50</v>
      </c>
      <c r="J7" s="23">
        <f t="shared" ref="J7:J32" si="1">H7*I7</f>
        <v>7000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44623</v>
      </c>
      <c r="D8" s="21" t="s">
        <v>18</v>
      </c>
      <c r="E8" s="21" t="s">
        <v>334</v>
      </c>
      <c r="F8" s="37">
        <v>60</v>
      </c>
      <c r="G8" s="37">
        <v>174</v>
      </c>
      <c r="H8" s="37">
        <v>114</v>
      </c>
      <c r="I8" s="22">
        <v>50</v>
      </c>
      <c r="J8" s="23">
        <f t="shared" si="1"/>
        <v>5700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44623</v>
      </c>
      <c r="D9" s="21" t="s">
        <v>18</v>
      </c>
      <c r="E9" s="21" t="s">
        <v>335</v>
      </c>
      <c r="F9" s="37">
        <v>80</v>
      </c>
      <c r="G9" s="37">
        <v>248</v>
      </c>
      <c r="H9" s="37">
        <f>248-80</f>
        <v>168</v>
      </c>
      <c r="I9" s="22">
        <v>150</v>
      </c>
      <c r="J9" s="23">
        <f t="shared" si="1"/>
        <v>25200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44628</v>
      </c>
      <c r="D10" s="21" t="s">
        <v>18</v>
      </c>
      <c r="E10" s="21" t="s">
        <v>336</v>
      </c>
      <c r="F10" s="37">
        <v>235</v>
      </c>
      <c r="G10" s="37">
        <v>262</v>
      </c>
      <c r="H10" s="37">
        <f>262-235</f>
        <v>27</v>
      </c>
      <c r="I10" s="22">
        <v>125</v>
      </c>
      <c r="J10" s="23">
        <f t="shared" si="1"/>
        <v>3375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44629</v>
      </c>
      <c r="D11" s="21" t="s">
        <v>18</v>
      </c>
      <c r="E11" s="21" t="s">
        <v>337</v>
      </c>
      <c r="F11" s="37">
        <v>200</v>
      </c>
      <c r="G11" s="37">
        <v>1388</v>
      </c>
      <c r="H11" s="37">
        <f>1388-200</f>
        <v>1188</v>
      </c>
      <c r="I11" s="22">
        <v>50</v>
      </c>
      <c r="J11" s="23">
        <f t="shared" si="1"/>
        <v>59400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44635</v>
      </c>
      <c r="D12" s="21" t="s">
        <v>18</v>
      </c>
      <c r="E12" s="21" t="s">
        <v>338</v>
      </c>
      <c r="F12" s="37">
        <v>140</v>
      </c>
      <c r="G12" s="37">
        <v>187</v>
      </c>
      <c r="H12" s="37">
        <f>187-140</f>
        <v>47</v>
      </c>
      <c r="I12" s="22">
        <v>125</v>
      </c>
      <c r="J12" s="23">
        <f t="shared" si="1"/>
        <v>5875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44641</v>
      </c>
      <c r="D13" s="21" t="s">
        <v>18</v>
      </c>
      <c r="E13" s="21" t="s">
        <v>339</v>
      </c>
      <c r="F13" s="37">
        <v>9</v>
      </c>
      <c r="G13" s="37">
        <v>11.7</v>
      </c>
      <c r="H13" s="37">
        <f>11.7-9</f>
        <v>2.6999999999999993</v>
      </c>
      <c r="I13" s="22">
        <v>1250</v>
      </c>
      <c r="J13" s="23">
        <f t="shared" si="1"/>
        <v>3374.9999999999991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44643</v>
      </c>
      <c r="D14" s="21" t="s">
        <v>18</v>
      </c>
      <c r="E14" s="21" t="s">
        <v>340</v>
      </c>
      <c r="F14" s="37">
        <v>3.2</v>
      </c>
      <c r="G14" s="37">
        <v>4.5</v>
      </c>
      <c r="H14" s="37">
        <f>4.5-3.2</f>
        <v>1.2999999999999998</v>
      </c>
      <c r="I14" s="22">
        <v>4750</v>
      </c>
      <c r="J14" s="23">
        <f t="shared" si="1"/>
        <v>6174.9999999999991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44644</v>
      </c>
      <c r="D15" s="21" t="s">
        <v>18</v>
      </c>
      <c r="E15" s="21" t="s">
        <v>222</v>
      </c>
      <c r="F15" s="37">
        <v>20</v>
      </c>
      <c r="G15" s="37">
        <v>69</v>
      </c>
      <c r="H15" s="37">
        <f>69-20</f>
        <v>49</v>
      </c>
      <c r="I15" s="22">
        <v>50</v>
      </c>
      <c r="J15" s="23">
        <f t="shared" si="1"/>
        <v>2450</v>
      </c>
      <c r="K15" s="7"/>
      <c r="V15" s="5">
        <f>IF($J15&gt;0,1,0)</f>
        <v>1</v>
      </c>
      <c r="W15" s="5">
        <f>IF($J15&lt;0,1,0)</f>
        <v>0</v>
      </c>
    </row>
    <row r="16" spans="1:23" x14ac:dyDescent="0.3">
      <c r="A16" s="6"/>
      <c r="B16" s="19">
        <v>11</v>
      </c>
      <c r="C16" s="20">
        <v>44645</v>
      </c>
      <c r="D16" s="21" t="s">
        <v>18</v>
      </c>
      <c r="E16" s="21" t="s">
        <v>341</v>
      </c>
      <c r="F16" s="37">
        <v>120</v>
      </c>
      <c r="G16" s="37">
        <v>165</v>
      </c>
      <c r="H16" s="37">
        <f>165-120</f>
        <v>45</v>
      </c>
      <c r="I16" s="22">
        <v>125</v>
      </c>
      <c r="J16" s="23">
        <f t="shared" si="1"/>
        <v>5625</v>
      </c>
      <c r="K16" s="7"/>
      <c r="V16" s="5">
        <f>IF($J16&gt;0,1,0)</f>
        <v>1</v>
      </c>
      <c r="W16" s="5">
        <f>IF($J16&lt;0,1,0)</f>
        <v>0</v>
      </c>
    </row>
    <row r="17" spans="1:23" x14ac:dyDescent="0.3">
      <c r="A17" s="6"/>
      <c r="B17" s="19">
        <v>12</v>
      </c>
      <c r="C17" s="20">
        <v>44648</v>
      </c>
      <c r="D17" s="21" t="s">
        <v>18</v>
      </c>
      <c r="E17" s="21" t="s">
        <v>342</v>
      </c>
      <c r="F17" s="37">
        <v>15</v>
      </c>
      <c r="G17" s="37">
        <v>20</v>
      </c>
      <c r="H17" s="37">
        <v>5</v>
      </c>
      <c r="I17" s="22">
        <v>250</v>
      </c>
      <c r="J17" s="23">
        <f t="shared" si="1"/>
        <v>1250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19">
        <v>13</v>
      </c>
      <c r="C18" s="20">
        <v>44650</v>
      </c>
      <c r="D18" s="21" t="s">
        <v>18</v>
      </c>
      <c r="E18" s="21" t="s">
        <v>343</v>
      </c>
      <c r="F18" s="37">
        <v>3</v>
      </c>
      <c r="G18" s="37">
        <v>3.65</v>
      </c>
      <c r="H18" s="37">
        <v>0.65</v>
      </c>
      <c r="I18" s="22">
        <v>950</v>
      </c>
      <c r="J18" s="23">
        <f t="shared" si="1"/>
        <v>617.5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9">
        <v>14</v>
      </c>
      <c r="C19" s="20">
        <v>44650</v>
      </c>
      <c r="D19" s="21" t="s">
        <v>18</v>
      </c>
      <c r="E19" s="21" t="s">
        <v>344</v>
      </c>
      <c r="F19" s="37">
        <v>30</v>
      </c>
      <c r="G19" s="37">
        <v>154</v>
      </c>
      <c r="H19" s="37">
        <f>154-30</f>
        <v>124</v>
      </c>
      <c r="I19" s="22">
        <v>125</v>
      </c>
      <c r="J19" s="23">
        <f t="shared" si="1"/>
        <v>15500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19">
        <v>15</v>
      </c>
      <c r="C20" s="20">
        <v>44651</v>
      </c>
      <c r="D20" s="21" t="s">
        <v>18</v>
      </c>
      <c r="E20" s="21" t="s">
        <v>289</v>
      </c>
      <c r="F20" s="37">
        <v>40</v>
      </c>
      <c r="G20" s="37">
        <v>86</v>
      </c>
      <c r="H20" s="37">
        <f>86-40</f>
        <v>46</v>
      </c>
      <c r="I20" s="22">
        <v>50</v>
      </c>
      <c r="J20" s="23">
        <f t="shared" si="1"/>
        <v>2300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idden="1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hidden="1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hidden="1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hidden="1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157592.5</v>
      </c>
      <c r="K33" s="7"/>
      <c r="V33" s="5">
        <f>SUM(V6:V32)</f>
        <v>15</v>
      </c>
      <c r="W33" s="5">
        <f>SUM(W6:W32)</f>
        <v>0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00000000-0004-0000-2800-000000000000}"/>
    <hyperlink ref="M1" location="MASTER!A1" display="Back" xr:uid="{00000000-0004-0000-2800-000001000000}"/>
  </hyperlinks>
  <pageMargins left="0" right="0" top="0" bottom="0" header="0" footer="0"/>
  <pageSetup paperSize="9" orientation="portrait"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W34"/>
  <sheetViews>
    <sheetView topLeftCell="A4" workbookViewId="0">
      <selection activeCell="A18" sqref="A18:XFD33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44652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13</v>
      </c>
      <c r="O4" s="108">
        <f>V33</f>
        <v>12</v>
      </c>
      <c r="P4" s="108">
        <f>W33</f>
        <v>1</v>
      </c>
      <c r="Q4" s="110">
        <v>0</v>
      </c>
      <c r="R4" s="94">
        <f>O4/N4</f>
        <v>0.92307692307692313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44652</v>
      </c>
      <c r="D6" s="16" t="s">
        <v>18</v>
      </c>
      <c r="E6" s="16" t="s">
        <v>193</v>
      </c>
      <c r="F6" s="51">
        <v>250</v>
      </c>
      <c r="G6" s="51">
        <v>1747</v>
      </c>
      <c r="H6" s="51">
        <f>1747-250</f>
        <v>1497</v>
      </c>
      <c r="I6" s="17">
        <v>50</v>
      </c>
      <c r="J6" s="18">
        <f>H6*I6</f>
        <v>74850</v>
      </c>
      <c r="K6" s="7"/>
      <c r="M6" s="88" t="s">
        <v>19</v>
      </c>
      <c r="N6" s="90">
        <f>SUM(N4:N5)</f>
        <v>13</v>
      </c>
      <c r="O6" s="90">
        <f>SUM(O4:O5)</f>
        <v>12</v>
      </c>
      <c r="P6" s="90">
        <f>SUM(P4:P5)</f>
        <v>1</v>
      </c>
      <c r="Q6" s="92">
        <f>SUM(Q4:Q5)</f>
        <v>0</v>
      </c>
      <c r="R6" s="94">
        <f t="shared" ref="R6" si="0">O6/N6</f>
        <v>0.92307692307692313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44655</v>
      </c>
      <c r="D7" s="21" t="s">
        <v>18</v>
      </c>
      <c r="E7" s="21" t="s">
        <v>345</v>
      </c>
      <c r="F7" s="37">
        <v>130</v>
      </c>
      <c r="G7" s="37">
        <v>174</v>
      </c>
      <c r="H7" s="37">
        <v>44</v>
      </c>
      <c r="I7" s="22">
        <v>200</v>
      </c>
      <c r="J7" s="23">
        <f t="shared" ref="J7:J32" si="1">H7*I7</f>
        <v>8800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44656</v>
      </c>
      <c r="D8" s="21" t="s">
        <v>18</v>
      </c>
      <c r="E8" s="21" t="s">
        <v>346</v>
      </c>
      <c r="F8" s="37">
        <v>8</v>
      </c>
      <c r="G8" s="37">
        <v>15</v>
      </c>
      <c r="H8" s="37">
        <f>15-8</f>
        <v>7</v>
      </c>
      <c r="I8" s="22">
        <v>2600</v>
      </c>
      <c r="J8" s="23">
        <f t="shared" si="1"/>
        <v>18200</v>
      </c>
      <c r="K8" s="7"/>
      <c r="M8" s="67" t="s">
        <v>20</v>
      </c>
      <c r="N8" s="68"/>
      <c r="O8" s="69"/>
      <c r="P8" s="76">
        <f>R6</f>
        <v>0.92307692307692313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44657</v>
      </c>
      <c r="D9" s="21" t="s">
        <v>18</v>
      </c>
      <c r="E9" s="21" t="s">
        <v>347</v>
      </c>
      <c r="F9" s="37">
        <v>13</v>
      </c>
      <c r="G9" s="37">
        <v>19.25</v>
      </c>
      <c r="H9" s="37">
        <f>19.25-13</f>
        <v>6.25</v>
      </c>
      <c r="I9" s="22">
        <v>1300</v>
      </c>
      <c r="J9" s="23">
        <f t="shared" si="1"/>
        <v>8125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44658</v>
      </c>
      <c r="D10" s="21" t="s">
        <v>18</v>
      </c>
      <c r="E10" s="21" t="s">
        <v>348</v>
      </c>
      <c r="F10" s="37">
        <v>60</v>
      </c>
      <c r="G10" s="37">
        <v>20</v>
      </c>
      <c r="H10" s="37">
        <v>-40</v>
      </c>
      <c r="I10" s="22">
        <v>50</v>
      </c>
      <c r="J10" s="23">
        <f t="shared" si="1"/>
        <v>-2000</v>
      </c>
      <c r="K10" s="7"/>
      <c r="M10" s="73"/>
      <c r="N10" s="74"/>
      <c r="O10" s="75"/>
      <c r="P10" s="82"/>
      <c r="Q10" s="83"/>
      <c r="R10" s="84"/>
      <c r="V10" s="5">
        <f t="shared" si="2"/>
        <v>0</v>
      </c>
      <c r="W10" s="5">
        <f t="shared" si="3"/>
        <v>1</v>
      </c>
    </row>
    <row r="11" spans="1:23" x14ac:dyDescent="0.3">
      <c r="A11" s="6"/>
      <c r="B11" s="19">
        <v>6</v>
      </c>
      <c r="C11" s="20">
        <v>44658</v>
      </c>
      <c r="D11" s="21" t="s">
        <v>18</v>
      </c>
      <c r="E11" s="21" t="s">
        <v>349</v>
      </c>
      <c r="F11" s="37">
        <v>40</v>
      </c>
      <c r="G11" s="37">
        <v>204</v>
      </c>
      <c r="H11" s="37">
        <f>204-40</f>
        <v>164</v>
      </c>
      <c r="I11" s="22">
        <v>50</v>
      </c>
      <c r="J11" s="23">
        <f t="shared" si="1"/>
        <v>8200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44663</v>
      </c>
      <c r="D12" s="21" t="s">
        <v>18</v>
      </c>
      <c r="E12" s="21" t="s">
        <v>350</v>
      </c>
      <c r="F12" s="37">
        <v>90</v>
      </c>
      <c r="G12" s="37">
        <v>98</v>
      </c>
      <c r="H12" s="37">
        <v>8</v>
      </c>
      <c r="I12" s="22">
        <v>200</v>
      </c>
      <c r="J12" s="23">
        <f t="shared" si="1"/>
        <v>1600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44664</v>
      </c>
      <c r="D13" s="21" t="s">
        <v>18</v>
      </c>
      <c r="E13" s="21" t="s">
        <v>348</v>
      </c>
      <c r="F13" s="37">
        <v>35</v>
      </c>
      <c r="G13" s="37">
        <v>67</v>
      </c>
      <c r="H13" s="37">
        <f>67-35</f>
        <v>32</v>
      </c>
      <c r="I13" s="22">
        <v>50</v>
      </c>
      <c r="J13" s="23">
        <f t="shared" si="1"/>
        <v>1600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44670</v>
      </c>
      <c r="D14" s="21" t="s">
        <v>18</v>
      </c>
      <c r="E14" s="21" t="s">
        <v>351</v>
      </c>
      <c r="F14" s="37">
        <v>1.8</v>
      </c>
      <c r="G14" s="37">
        <v>5.5</v>
      </c>
      <c r="H14" s="37">
        <f>5.5-1.8</f>
        <v>3.7</v>
      </c>
      <c r="I14" s="22">
        <v>1800</v>
      </c>
      <c r="J14" s="23">
        <f t="shared" si="1"/>
        <v>6660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44671</v>
      </c>
      <c r="D15" s="21" t="s">
        <v>18</v>
      </c>
      <c r="E15" s="21" t="s">
        <v>319</v>
      </c>
      <c r="F15" s="37">
        <v>20</v>
      </c>
      <c r="G15" s="37">
        <v>31.75</v>
      </c>
      <c r="H15" s="37">
        <f>31.75-20</f>
        <v>11.75</v>
      </c>
      <c r="I15" s="22">
        <v>100</v>
      </c>
      <c r="J15" s="23">
        <f t="shared" si="1"/>
        <v>1175</v>
      </c>
      <c r="K15" s="7"/>
      <c r="V15" s="5">
        <f>IF($J15&gt;0,1,0)</f>
        <v>1</v>
      </c>
      <c r="W15" s="5">
        <f>IF($J15&lt;0,1,0)</f>
        <v>0</v>
      </c>
    </row>
    <row r="16" spans="1:23" x14ac:dyDescent="0.3">
      <c r="A16" s="6"/>
      <c r="B16" s="19">
        <v>11</v>
      </c>
      <c r="C16" s="20">
        <v>44672</v>
      </c>
      <c r="D16" s="21" t="s">
        <v>18</v>
      </c>
      <c r="E16" s="21" t="s">
        <v>354</v>
      </c>
      <c r="F16" s="37">
        <v>30</v>
      </c>
      <c r="G16" s="37">
        <v>47</v>
      </c>
      <c r="H16" s="37">
        <v>17</v>
      </c>
      <c r="I16" s="22">
        <v>50</v>
      </c>
      <c r="J16" s="23">
        <f t="shared" si="1"/>
        <v>850</v>
      </c>
      <c r="K16" s="7"/>
      <c r="V16" s="5">
        <f>IF($J16&gt;0,1,0)</f>
        <v>1</v>
      </c>
      <c r="W16" s="5">
        <f>IF($J16&lt;0,1,0)</f>
        <v>0</v>
      </c>
    </row>
    <row r="17" spans="1:23" x14ac:dyDescent="0.3">
      <c r="A17" s="6"/>
      <c r="B17" s="19">
        <v>12</v>
      </c>
      <c r="C17" s="20">
        <v>44673</v>
      </c>
      <c r="D17" s="21" t="s">
        <v>18</v>
      </c>
      <c r="E17" s="21" t="s">
        <v>352</v>
      </c>
      <c r="F17" s="37">
        <v>14</v>
      </c>
      <c r="G17" s="37">
        <v>27</v>
      </c>
      <c r="H17" s="37">
        <f>27-14</f>
        <v>13</v>
      </c>
      <c r="I17" s="22">
        <v>1250</v>
      </c>
      <c r="J17" s="23">
        <f t="shared" si="1"/>
        <v>16250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19">
        <v>13</v>
      </c>
      <c r="C18" s="20">
        <v>44677</v>
      </c>
      <c r="D18" s="21" t="s">
        <v>18</v>
      </c>
      <c r="E18" s="21" t="s">
        <v>353</v>
      </c>
      <c r="F18" s="37">
        <v>110</v>
      </c>
      <c r="G18" s="37">
        <v>166.9</v>
      </c>
      <c r="H18" s="37">
        <f>166.9-110</f>
        <v>56.900000000000006</v>
      </c>
      <c r="I18" s="22">
        <v>125</v>
      </c>
      <c r="J18" s="23">
        <f t="shared" si="1"/>
        <v>7112.5000000000009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151422.5</v>
      </c>
      <c r="K33" s="7"/>
      <c r="V33" s="5">
        <f>SUM(V6:V32)</f>
        <v>12</v>
      </c>
      <c r="W33" s="5">
        <f>SUM(W6:W32)</f>
        <v>1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00000000-0004-0000-2900-000000000000}"/>
    <hyperlink ref="M1" location="MASTER!A1" display="Back" xr:uid="{00000000-0004-0000-2900-000001000000}"/>
  </hyperlinks>
  <pageMargins left="0" right="0" top="0" bottom="0" header="0" footer="0"/>
  <pageSetup paperSize="9" orientation="portrait"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W34"/>
  <sheetViews>
    <sheetView topLeftCell="A16" zoomScaleNormal="100" workbookViewId="0">
      <selection activeCell="P4" sqref="P4:P5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44682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16</v>
      </c>
      <c r="O4" s="108">
        <f>V33</f>
        <v>14</v>
      </c>
      <c r="P4" s="108">
        <f>W33</f>
        <v>2</v>
      </c>
      <c r="Q4" s="110">
        <v>0</v>
      </c>
      <c r="R4" s="94">
        <f>O4/N4</f>
        <v>0.875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44683</v>
      </c>
      <c r="D6" s="16" t="s">
        <v>18</v>
      </c>
      <c r="E6" s="16" t="s">
        <v>355</v>
      </c>
      <c r="F6" s="51">
        <v>60</v>
      </c>
      <c r="G6" s="51">
        <v>68.7</v>
      </c>
      <c r="H6" s="51">
        <v>8.6999999999999993</v>
      </c>
      <c r="I6" s="17">
        <v>250</v>
      </c>
      <c r="J6" s="18">
        <f>H6*I6</f>
        <v>2175</v>
      </c>
      <c r="K6" s="7"/>
      <c r="M6" s="88" t="s">
        <v>19</v>
      </c>
      <c r="N6" s="90">
        <f>SUM(N4:N5)</f>
        <v>16</v>
      </c>
      <c r="O6" s="90">
        <f>SUM(O4:O5)</f>
        <v>14</v>
      </c>
      <c r="P6" s="90">
        <f>SUM(P4:P5)</f>
        <v>2</v>
      </c>
      <c r="Q6" s="92">
        <f>SUM(Q4:Q5)</f>
        <v>0</v>
      </c>
      <c r="R6" s="94">
        <f t="shared" ref="R6" si="0">O6/N6</f>
        <v>0.875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44686</v>
      </c>
      <c r="D7" s="21" t="s">
        <v>18</v>
      </c>
      <c r="E7" s="21" t="s">
        <v>356</v>
      </c>
      <c r="F7" s="37">
        <v>25</v>
      </c>
      <c r="G7" s="37">
        <v>195</v>
      </c>
      <c r="H7" s="37">
        <f>195-25</f>
        <v>170</v>
      </c>
      <c r="I7" s="22">
        <v>100</v>
      </c>
      <c r="J7" s="23">
        <f t="shared" ref="J7:J32" si="1">H7*I7</f>
        <v>17000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44687</v>
      </c>
      <c r="D8" s="21" t="s">
        <v>18</v>
      </c>
      <c r="E8" s="21" t="s">
        <v>357</v>
      </c>
      <c r="F8" s="37">
        <v>25</v>
      </c>
      <c r="G8" s="37">
        <v>50.3</v>
      </c>
      <c r="H8" s="37">
        <v>25.3</v>
      </c>
      <c r="I8" s="22">
        <v>200</v>
      </c>
      <c r="J8" s="23">
        <f t="shared" si="1"/>
        <v>5060</v>
      </c>
      <c r="K8" s="7"/>
      <c r="M8" s="67" t="s">
        <v>20</v>
      </c>
      <c r="N8" s="68"/>
      <c r="O8" s="69"/>
      <c r="P8" s="76">
        <f>R6</f>
        <v>0.875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44692</v>
      </c>
      <c r="D9" s="21" t="s">
        <v>18</v>
      </c>
      <c r="E9" s="21" t="s">
        <v>361</v>
      </c>
      <c r="F9" s="37">
        <v>100</v>
      </c>
      <c r="G9" s="37">
        <v>198</v>
      </c>
      <c r="H9" s="37">
        <v>98</v>
      </c>
      <c r="I9" s="22">
        <v>125</v>
      </c>
      <c r="J9" s="23">
        <f t="shared" si="1"/>
        <v>12250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44693</v>
      </c>
      <c r="D10" s="21" t="s">
        <v>18</v>
      </c>
      <c r="E10" s="21" t="s">
        <v>358</v>
      </c>
      <c r="F10" s="37">
        <v>30</v>
      </c>
      <c r="G10" s="37">
        <v>80</v>
      </c>
      <c r="H10" s="37">
        <v>50</v>
      </c>
      <c r="I10" s="22">
        <v>100</v>
      </c>
      <c r="J10" s="23">
        <f t="shared" si="1"/>
        <v>5000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44693</v>
      </c>
      <c r="D11" s="21" t="s">
        <v>18</v>
      </c>
      <c r="E11" s="21" t="s">
        <v>359</v>
      </c>
      <c r="F11" s="37">
        <v>130</v>
      </c>
      <c r="G11" s="37">
        <v>148</v>
      </c>
      <c r="H11" s="37">
        <v>18</v>
      </c>
      <c r="I11" s="22">
        <v>125</v>
      </c>
      <c r="J11" s="23">
        <f t="shared" si="1"/>
        <v>2250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44694</v>
      </c>
      <c r="D12" s="21" t="s">
        <v>18</v>
      </c>
      <c r="E12" s="21" t="s">
        <v>360</v>
      </c>
      <c r="F12" s="37">
        <v>15</v>
      </c>
      <c r="G12" s="37">
        <v>26</v>
      </c>
      <c r="H12" s="37">
        <f>26-15</f>
        <v>11</v>
      </c>
      <c r="I12" s="22">
        <v>1500</v>
      </c>
      <c r="J12" s="23">
        <f t="shared" si="1"/>
        <v>16500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44695</v>
      </c>
      <c r="D13" s="21" t="s">
        <v>18</v>
      </c>
      <c r="E13" s="21" t="s">
        <v>362</v>
      </c>
      <c r="F13" s="37">
        <v>60</v>
      </c>
      <c r="G13" s="37">
        <v>92</v>
      </c>
      <c r="H13" s="37">
        <f>92-60</f>
        <v>32</v>
      </c>
      <c r="I13" s="22">
        <v>150</v>
      </c>
      <c r="J13" s="23">
        <f t="shared" si="1"/>
        <v>4800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44696</v>
      </c>
      <c r="D14" s="21" t="s">
        <v>18</v>
      </c>
      <c r="E14" s="21" t="s">
        <v>363</v>
      </c>
      <c r="F14" s="37">
        <v>10</v>
      </c>
      <c r="G14" s="37">
        <v>13.3</v>
      </c>
      <c r="H14" s="37">
        <v>3.3</v>
      </c>
      <c r="I14" s="22">
        <v>1250</v>
      </c>
      <c r="J14" s="23">
        <f t="shared" si="1"/>
        <v>4125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44700</v>
      </c>
      <c r="D15" s="21" t="s">
        <v>18</v>
      </c>
      <c r="E15" s="21" t="s">
        <v>364</v>
      </c>
      <c r="F15" s="37">
        <v>45</v>
      </c>
      <c r="G15" s="37">
        <v>21</v>
      </c>
      <c r="H15" s="37">
        <v>-24</v>
      </c>
      <c r="I15" s="22">
        <v>350</v>
      </c>
      <c r="J15" s="23">
        <f t="shared" si="1"/>
        <v>-8400</v>
      </c>
      <c r="K15" s="7"/>
      <c r="V15" s="5">
        <f>IF($J15&gt;0,1,0)</f>
        <v>0</v>
      </c>
      <c r="W15" s="5">
        <f>IF($J15&lt;0,1,0)</f>
        <v>1</v>
      </c>
    </row>
    <row r="16" spans="1:23" x14ac:dyDescent="0.3">
      <c r="A16" s="6"/>
      <c r="B16" s="19">
        <v>11</v>
      </c>
      <c r="C16" s="20">
        <v>44700</v>
      </c>
      <c r="D16" s="21" t="s">
        <v>18</v>
      </c>
      <c r="E16" s="21" t="s">
        <v>231</v>
      </c>
      <c r="F16" s="37">
        <v>20</v>
      </c>
      <c r="G16" s="37">
        <v>36.75</v>
      </c>
      <c r="H16" s="37">
        <f>36.75-20</f>
        <v>16.75</v>
      </c>
      <c r="I16" s="22">
        <v>100</v>
      </c>
      <c r="J16" s="23">
        <f t="shared" si="1"/>
        <v>1675</v>
      </c>
      <c r="K16" s="7"/>
      <c r="V16" s="5">
        <f>IF($J16&gt;0,1,0)</f>
        <v>1</v>
      </c>
      <c r="W16" s="5">
        <f>IF($J16&lt;0,1,0)</f>
        <v>0</v>
      </c>
    </row>
    <row r="17" spans="1:23" x14ac:dyDescent="0.3">
      <c r="A17" s="6"/>
      <c r="B17" s="19">
        <v>12</v>
      </c>
      <c r="C17" s="20">
        <v>44704</v>
      </c>
      <c r="D17" s="21" t="s">
        <v>18</v>
      </c>
      <c r="E17" s="21" t="s">
        <v>365</v>
      </c>
      <c r="F17" s="37">
        <v>8</v>
      </c>
      <c r="G17" s="37">
        <v>10</v>
      </c>
      <c r="H17" s="37">
        <v>2</v>
      </c>
      <c r="I17" s="22">
        <v>1000</v>
      </c>
      <c r="J17" s="23">
        <f t="shared" si="1"/>
        <v>2000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19">
        <v>13</v>
      </c>
      <c r="C18" s="20">
        <v>44704</v>
      </c>
      <c r="D18" s="21" t="s">
        <v>18</v>
      </c>
      <c r="E18" s="21" t="s">
        <v>366</v>
      </c>
      <c r="F18" s="37">
        <v>30</v>
      </c>
      <c r="G18" s="37">
        <v>36</v>
      </c>
      <c r="H18" s="37">
        <v>6</v>
      </c>
      <c r="I18" s="22">
        <v>375</v>
      </c>
      <c r="J18" s="23">
        <f t="shared" si="1"/>
        <v>2250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9">
        <v>14</v>
      </c>
      <c r="C19" s="20">
        <v>44705</v>
      </c>
      <c r="D19" s="21" t="s">
        <v>18</v>
      </c>
      <c r="E19" s="21" t="s">
        <v>367</v>
      </c>
      <c r="F19" s="37">
        <v>2.5</v>
      </c>
      <c r="G19" s="37">
        <v>8.5</v>
      </c>
      <c r="H19" s="37">
        <v>6</v>
      </c>
      <c r="I19" s="22">
        <v>1250</v>
      </c>
      <c r="J19" s="23">
        <f t="shared" si="1"/>
        <v>7500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19">
        <v>15</v>
      </c>
      <c r="C20" s="20">
        <v>44707</v>
      </c>
      <c r="D20" s="21" t="s">
        <v>18</v>
      </c>
      <c r="E20" s="21" t="s">
        <v>368</v>
      </c>
      <c r="F20" s="37">
        <v>15</v>
      </c>
      <c r="G20" s="37">
        <v>2</v>
      </c>
      <c r="H20" s="37">
        <v>-13</v>
      </c>
      <c r="I20" s="22">
        <v>100</v>
      </c>
      <c r="J20" s="23">
        <f t="shared" si="1"/>
        <v>-1300</v>
      </c>
      <c r="K20" s="7"/>
      <c r="V20" s="5">
        <f t="shared" si="2"/>
        <v>0</v>
      </c>
      <c r="W20" s="5">
        <f t="shared" si="3"/>
        <v>1</v>
      </c>
    </row>
    <row r="21" spans="1:23" x14ac:dyDescent="0.3">
      <c r="A21" s="6"/>
      <c r="B21" s="19">
        <v>16</v>
      </c>
      <c r="C21" s="20">
        <v>44711</v>
      </c>
      <c r="D21" s="21" t="s">
        <v>18</v>
      </c>
      <c r="E21" s="21" t="s">
        <v>369</v>
      </c>
      <c r="F21" s="37">
        <v>45</v>
      </c>
      <c r="G21" s="37">
        <v>75</v>
      </c>
      <c r="H21" s="37">
        <v>30</v>
      </c>
      <c r="I21" s="22">
        <v>500</v>
      </c>
      <c r="J21" s="23">
        <f t="shared" si="1"/>
        <v>15000</v>
      </c>
      <c r="K21" s="7"/>
      <c r="O21" s="24"/>
      <c r="P21" s="24"/>
      <c r="Q21" s="24"/>
      <c r="R21" s="24"/>
      <c r="V21" s="5">
        <f t="shared" si="2"/>
        <v>1</v>
      </c>
      <c r="W21" s="5">
        <f t="shared" si="3"/>
        <v>0</v>
      </c>
    </row>
    <row r="22" spans="1:23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87885</v>
      </c>
      <c r="K33" s="7"/>
      <c r="V33" s="5">
        <f>SUM(V6:V32)</f>
        <v>14</v>
      </c>
      <c r="W33" s="5">
        <f>SUM(W6:W32)</f>
        <v>2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00000000-0004-0000-2A00-000000000000}"/>
    <hyperlink ref="M1" location="MASTER!A1" display="Back" xr:uid="{00000000-0004-0000-2A00-000001000000}"/>
  </hyperlinks>
  <pageMargins left="0" right="0" top="0" bottom="0" header="0" footer="0"/>
  <pageSetup paperSize="9" orientation="portrait"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W34"/>
  <sheetViews>
    <sheetView topLeftCell="A4" workbookViewId="0">
      <selection activeCell="J29" sqref="J29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44713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11</v>
      </c>
      <c r="O4" s="108">
        <f>V33</f>
        <v>10</v>
      </c>
      <c r="P4" s="108">
        <f>W33</f>
        <v>1</v>
      </c>
      <c r="Q4" s="110">
        <v>0</v>
      </c>
      <c r="R4" s="94">
        <f>O4/N4</f>
        <v>0.90909090909090906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44714</v>
      </c>
      <c r="D6" s="16" t="s">
        <v>18</v>
      </c>
      <c r="E6" s="16" t="s">
        <v>370</v>
      </c>
      <c r="F6" s="51">
        <v>30</v>
      </c>
      <c r="G6" s="51">
        <v>62</v>
      </c>
      <c r="H6" s="51">
        <v>32</v>
      </c>
      <c r="I6" s="17">
        <v>50</v>
      </c>
      <c r="J6" s="18">
        <f>H6*I6</f>
        <v>1600</v>
      </c>
      <c r="K6" s="7"/>
      <c r="M6" s="88" t="s">
        <v>19</v>
      </c>
      <c r="N6" s="90">
        <f>SUM(N4:N5)</f>
        <v>11</v>
      </c>
      <c r="O6" s="90">
        <f>SUM(O4:O5)</f>
        <v>10</v>
      </c>
      <c r="P6" s="90">
        <f>SUM(P4:P5)</f>
        <v>1</v>
      </c>
      <c r="Q6" s="92">
        <f>SUM(Q4:Q5)</f>
        <v>0</v>
      </c>
      <c r="R6" s="94">
        <f t="shared" ref="R6" si="0">O6/N6</f>
        <v>0.90909090909090906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44714</v>
      </c>
      <c r="D7" s="21" t="s">
        <v>18</v>
      </c>
      <c r="E7" s="21" t="s">
        <v>371</v>
      </c>
      <c r="F7" s="37">
        <v>150</v>
      </c>
      <c r="G7" s="37">
        <v>237</v>
      </c>
      <c r="H7" s="37">
        <f>237-150</f>
        <v>87</v>
      </c>
      <c r="I7" s="22">
        <v>50</v>
      </c>
      <c r="J7" s="23">
        <f t="shared" ref="J7:J32" si="1">H7*I7</f>
        <v>4350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44719</v>
      </c>
      <c r="D8" s="21" t="s">
        <v>18</v>
      </c>
      <c r="E8" s="21" t="s">
        <v>372</v>
      </c>
      <c r="F8" s="37">
        <v>110</v>
      </c>
      <c r="G8" s="37">
        <v>146</v>
      </c>
      <c r="H8" s="37">
        <f>146-110</f>
        <v>36</v>
      </c>
      <c r="I8" s="22">
        <v>125</v>
      </c>
      <c r="J8" s="23">
        <f t="shared" si="1"/>
        <v>4500</v>
      </c>
      <c r="K8" s="7"/>
      <c r="M8" s="67" t="s">
        <v>20</v>
      </c>
      <c r="N8" s="68"/>
      <c r="O8" s="69"/>
      <c r="P8" s="76">
        <f>R6</f>
        <v>0.90909090909090906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44721</v>
      </c>
      <c r="D9" s="21" t="s">
        <v>18</v>
      </c>
      <c r="E9" s="21" t="s">
        <v>373</v>
      </c>
      <c r="F9" s="37">
        <v>35</v>
      </c>
      <c r="G9" s="37">
        <v>99.9</v>
      </c>
      <c r="H9" s="37">
        <f>99.9-35</f>
        <v>64.900000000000006</v>
      </c>
      <c r="I9" s="22">
        <v>50</v>
      </c>
      <c r="J9" s="23">
        <f t="shared" si="1"/>
        <v>3245.0000000000005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44725</v>
      </c>
      <c r="D10" s="21" t="s">
        <v>18</v>
      </c>
      <c r="E10" s="21" t="s">
        <v>374</v>
      </c>
      <c r="F10" s="37">
        <v>50</v>
      </c>
      <c r="G10" s="37">
        <v>114</v>
      </c>
      <c r="H10" s="37">
        <f>114-50</f>
        <v>64</v>
      </c>
      <c r="I10" s="22">
        <v>150</v>
      </c>
      <c r="J10" s="23">
        <f t="shared" si="1"/>
        <v>9600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44725</v>
      </c>
      <c r="D11" s="21" t="s">
        <v>18</v>
      </c>
      <c r="E11" s="21" t="s">
        <v>375</v>
      </c>
      <c r="F11" s="37">
        <v>2.4</v>
      </c>
      <c r="G11" s="37">
        <v>5.5</v>
      </c>
      <c r="H11" s="37">
        <f>5.5-2.4</f>
        <v>3.1</v>
      </c>
      <c r="I11" s="22">
        <v>5000</v>
      </c>
      <c r="J11" s="23">
        <f t="shared" si="1"/>
        <v>15500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44726</v>
      </c>
      <c r="D12" s="21" t="s">
        <v>18</v>
      </c>
      <c r="E12" s="21" t="s">
        <v>376</v>
      </c>
      <c r="F12" s="37">
        <v>100</v>
      </c>
      <c r="G12" s="37">
        <v>126</v>
      </c>
      <c r="H12" s="37">
        <v>26</v>
      </c>
      <c r="I12" s="22">
        <v>125</v>
      </c>
      <c r="J12" s="23">
        <f t="shared" si="1"/>
        <v>3250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44732</v>
      </c>
      <c r="D13" s="21" t="s">
        <v>18</v>
      </c>
      <c r="E13" s="21" t="s">
        <v>377</v>
      </c>
      <c r="F13" s="37">
        <v>13</v>
      </c>
      <c r="G13" s="37">
        <v>16.149999999999999</v>
      </c>
      <c r="H13" s="37">
        <v>3.5</v>
      </c>
      <c r="I13" s="22">
        <v>900</v>
      </c>
      <c r="J13" s="23">
        <f t="shared" si="1"/>
        <v>3150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44739</v>
      </c>
      <c r="D14" s="21" t="s">
        <v>18</v>
      </c>
      <c r="E14" s="21" t="s">
        <v>378</v>
      </c>
      <c r="F14" s="37">
        <v>1.1000000000000001</v>
      </c>
      <c r="G14" s="37">
        <v>1.7</v>
      </c>
      <c r="H14" s="37">
        <f>1.7-1.1</f>
        <v>0.59999999999999987</v>
      </c>
      <c r="I14" s="22">
        <v>125</v>
      </c>
      <c r="J14" s="23">
        <f t="shared" si="1"/>
        <v>74.999999999999986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44739</v>
      </c>
      <c r="D15" s="21" t="s">
        <v>18</v>
      </c>
      <c r="E15" s="21" t="s">
        <v>379</v>
      </c>
      <c r="F15" s="37">
        <v>25</v>
      </c>
      <c r="G15" s="37">
        <v>13</v>
      </c>
      <c r="H15" s="37">
        <v>-12</v>
      </c>
      <c r="I15" s="22">
        <v>250</v>
      </c>
      <c r="J15" s="23">
        <f t="shared" si="1"/>
        <v>-3000</v>
      </c>
      <c r="K15" s="7"/>
      <c r="V15" s="5">
        <f>IF($J15&gt;0,1,0)</f>
        <v>0</v>
      </c>
      <c r="W15" s="5">
        <f>IF($J15&lt;0,1,0)</f>
        <v>1</v>
      </c>
    </row>
    <row r="16" spans="1:23" x14ac:dyDescent="0.3">
      <c r="A16" s="6"/>
      <c r="B16" s="19">
        <v>11</v>
      </c>
      <c r="C16" s="20">
        <v>44742</v>
      </c>
      <c r="D16" s="21" t="s">
        <v>18</v>
      </c>
      <c r="E16" s="21" t="s">
        <v>380</v>
      </c>
      <c r="F16" s="37">
        <v>25</v>
      </c>
      <c r="G16" s="37">
        <v>62</v>
      </c>
      <c r="H16" s="37">
        <f>62-25</f>
        <v>37</v>
      </c>
      <c r="I16" s="22">
        <v>50</v>
      </c>
      <c r="J16" s="23">
        <f t="shared" si="1"/>
        <v>1850</v>
      </c>
      <c r="K16" s="7"/>
      <c r="V16" s="5">
        <f>IF($J16&gt;0,1,0)</f>
        <v>1</v>
      </c>
      <c r="W16" s="5">
        <f>IF($J16&lt;0,1,0)</f>
        <v>0</v>
      </c>
    </row>
    <row r="17" spans="1:23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x14ac:dyDescent="0.3">
      <c r="A25" s="6"/>
      <c r="B25" s="19">
        <v>20</v>
      </c>
      <c r="C25" s="20"/>
      <c r="D25" s="21"/>
      <c r="E25" s="21"/>
      <c r="F25" s="37"/>
      <c r="G25" s="37"/>
      <c r="H25" s="21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x14ac:dyDescent="0.3">
      <c r="A26" s="6"/>
      <c r="B26" s="19">
        <v>21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x14ac:dyDescent="0.3">
      <c r="A27" s="6"/>
      <c r="B27" s="19">
        <v>22</v>
      </c>
      <c r="C27" s="20"/>
      <c r="D27" s="21"/>
      <c r="E27" s="21"/>
      <c r="F27" s="22"/>
      <c r="G27" s="22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25">
        <v>11</v>
      </c>
      <c r="C28" s="26"/>
      <c r="D28" s="27"/>
      <c r="E28" s="27"/>
      <c r="F28" s="28"/>
      <c r="G28" s="52"/>
      <c r="H28" s="52"/>
      <c r="I28" s="28"/>
      <c r="J28" s="23">
        <f t="shared" si="1"/>
        <v>0</v>
      </c>
      <c r="K28" s="7"/>
    </row>
    <row r="29" spans="1:23" x14ac:dyDescent="0.3">
      <c r="A29" s="6"/>
      <c r="B29" s="25">
        <v>12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44120</v>
      </c>
      <c r="K33" s="7"/>
      <c r="V33" s="5">
        <f>SUM(V6:V32)</f>
        <v>10</v>
      </c>
      <c r="W33" s="5">
        <f>SUM(W6:W32)</f>
        <v>1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00000000-0004-0000-2B00-000000000000}"/>
    <hyperlink ref="M1" location="MASTER!A1" display="Back" xr:uid="{00000000-0004-0000-2B00-000001000000}"/>
  </hyperlinks>
  <pageMargins left="0" right="0" top="0" bottom="0" header="0" footer="0"/>
  <pageSetup paperSize="9" orientation="portrait"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W35"/>
  <sheetViews>
    <sheetView topLeftCell="A4" workbookViewId="0">
      <selection activeCell="O21" sqref="O21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44743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COUNT(C6:C33)</f>
        <v>19</v>
      </c>
      <c r="O4" s="108">
        <v>15</v>
      </c>
      <c r="P4" s="108">
        <f>W34</f>
        <v>4</v>
      </c>
      <c r="Q4" s="110">
        <v>0</v>
      </c>
      <c r="R4" s="94">
        <f>O4/N4</f>
        <v>0.78947368421052633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44743</v>
      </c>
      <c r="D6" s="16" t="s">
        <v>18</v>
      </c>
      <c r="E6" s="16" t="s">
        <v>381</v>
      </c>
      <c r="F6" s="51">
        <v>12</v>
      </c>
      <c r="G6" s="51">
        <v>16.3</v>
      </c>
      <c r="H6" s="51">
        <f>16.3-12</f>
        <v>4.3000000000000007</v>
      </c>
      <c r="I6" s="17">
        <v>1000</v>
      </c>
      <c r="J6" s="18">
        <f>H6*I6</f>
        <v>4300.0000000000009</v>
      </c>
      <c r="K6" s="7"/>
      <c r="M6" s="88" t="s">
        <v>19</v>
      </c>
      <c r="N6" s="90">
        <f>SUM(N4:N5)</f>
        <v>19</v>
      </c>
      <c r="O6" s="90">
        <f>SUM(O4:O5)</f>
        <v>15</v>
      </c>
      <c r="P6" s="90">
        <f>SUM(P4:P5)</f>
        <v>4</v>
      </c>
      <c r="Q6" s="92">
        <f>SUM(Q4:Q5)</f>
        <v>0</v>
      </c>
      <c r="R6" s="94">
        <f t="shared" ref="R6" si="0">O6/N6</f>
        <v>0.78947368421052633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44746</v>
      </c>
      <c r="D7" s="21" t="s">
        <v>18</v>
      </c>
      <c r="E7" s="21" t="s">
        <v>382</v>
      </c>
      <c r="F7" s="37">
        <v>45</v>
      </c>
      <c r="G7" s="37">
        <v>100</v>
      </c>
      <c r="H7" s="37">
        <f>100-45</f>
        <v>55</v>
      </c>
      <c r="I7" s="22">
        <v>400</v>
      </c>
      <c r="J7" s="23">
        <f t="shared" ref="J7:J33" si="1">H7*I7</f>
        <v>22000</v>
      </c>
      <c r="K7" s="7"/>
      <c r="M7" s="89"/>
      <c r="N7" s="91"/>
      <c r="O7" s="91"/>
      <c r="P7" s="91"/>
      <c r="Q7" s="93"/>
      <c r="R7" s="95"/>
      <c r="V7" s="5">
        <f t="shared" ref="V7:V33" si="2">IF($J7&gt;0,1,0)</f>
        <v>1</v>
      </c>
      <c r="W7" s="5">
        <f t="shared" ref="W7:W33" si="3">IF($J7&lt;0,1,0)</f>
        <v>0</v>
      </c>
    </row>
    <row r="8" spans="1:23" x14ac:dyDescent="0.3">
      <c r="A8" s="6"/>
      <c r="B8" s="19">
        <v>3</v>
      </c>
      <c r="C8" s="20">
        <v>44747</v>
      </c>
      <c r="D8" s="21" t="s">
        <v>18</v>
      </c>
      <c r="E8" s="21" t="s">
        <v>383</v>
      </c>
      <c r="F8" s="37">
        <v>31</v>
      </c>
      <c r="G8" s="37">
        <v>55</v>
      </c>
      <c r="H8" s="37">
        <f>55-31</f>
        <v>24</v>
      </c>
      <c r="I8" s="22">
        <v>425</v>
      </c>
      <c r="J8" s="23">
        <f t="shared" si="1"/>
        <v>10200</v>
      </c>
      <c r="K8" s="7"/>
      <c r="M8" s="67" t="s">
        <v>20</v>
      </c>
      <c r="N8" s="68"/>
      <c r="O8" s="69"/>
      <c r="P8" s="76">
        <f>R6</f>
        <v>0.78947368421052633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44749</v>
      </c>
      <c r="D9" s="21" t="s">
        <v>18</v>
      </c>
      <c r="E9" s="21" t="s">
        <v>384</v>
      </c>
      <c r="F9" s="37">
        <v>15</v>
      </c>
      <c r="G9" s="37">
        <v>64</v>
      </c>
      <c r="H9" s="37">
        <f>64-15</f>
        <v>49</v>
      </c>
      <c r="I9" s="22">
        <v>50</v>
      </c>
      <c r="J9" s="23">
        <f t="shared" si="1"/>
        <v>2450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44750</v>
      </c>
      <c r="D10" s="21" t="s">
        <v>18</v>
      </c>
      <c r="E10" s="21" t="s">
        <v>385</v>
      </c>
      <c r="F10" s="37">
        <v>110</v>
      </c>
      <c r="G10" s="37">
        <v>127</v>
      </c>
      <c r="H10" s="37">
        <f>127-110</f>
        <v>17</v>
      </c>
      <c r="I10" s="22">
        <v>125</v>
      </c>
      <c r="J10" s="23">
        <f t="shared" si="1"/>
        <v>2125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44753</v>
      </c>
      <c r="D11" s="21" t="s">
        <v>18</v>
      </c>
      <c r="E11" s="21" t="s">
        <v>386</v>
      </c>
      <c r="F11" s="37">
        <v>110</v>
      </c>
      <c r="G11" s="37">
        <v>225</v>
      </c>
      <c r="H11" s="37">
        <f>225-110</f>
        <v>115</v>
      </c>
      <c r="I11" s="22">
        <v>125</v>
      </c>
      <c r="J11" s="23">
        <f t="shared" si="1"/>
        <v>14375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44754</v>
      </c>
      <c r="D12" s="21" t="s">
        <v>18</v>
      </c>
      <c r="E12" s="21" t="s">
        <v>387</v>
      </c>
      <c r="F12" s="37">
        <v>25</v>
      </c>
      <c r="G12" s="37">
        <v>34</v>
      </c>
      <c r="H12" s="37">
        <f>34-25</f>
        <v>9</v>
      </c>
      <c r="I12" s="22">
        <v>300</v>
      </c>
      <c r="J12" s="23">
        <f t="shared" si="1"/>
        <v>2700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44756</v>
      </c>
      <c r="D13" s="21" t="s">
        <v>18</v>
      </c>
      <c r="E13" s="21" t="s">
        <v>388</v>
      </c>
      <c r="F13" s="37">
        <v>15</v>
      </c>
      <c r="G13" s="37">
        <v>48</v>
      </c>
      <c r="H13" s="37">
        <f>48-15</f>
        <v>33</v>
      </c>
      <c r="I13" s="22">
        <v>100</v>
      </c>
      <c r="J13" s="23">
        <f t="shared" si="1"/>
        <v>3300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44756</v>
      </c>
      <c r="D14" s="21" t="s">
        <v>18</v>
      </c>
      <c r="E14" s="21" t="s">
        <v>221</v>
      </c>
      <c r="F14" s="37">
        <v>40</v>
      </c>
      <c r="G14" s="37">
        <v>25</v>
      </c>
      <c r="H14" s="37">
        <v>-15</v>
      </c>
      <c r="I14" s="22">
        <v>50</v>
      </c>
      <c r="J14" s="23">
        <f t="shared" si="1"/>
        <v>-750</v>
      </c>
      <c r="K14" s="7"/>
      <c r="M14" s="5" t="s">
        <v>21</v>
      </c>
      <c r="V14" s="5">
        <f t="shared" si="2"/>
        <v>0</v>
      </c>
      <c r="W14" s="5">
        <f t="shared" si="3"/>
        <v>1</v>
      </c>
    </row>
    <row r="15" spans="1:23" x14ac:dyDescent="0.3">
      <c r="A15" s="6"/>
      <c r="B15" s="19">
        <v>10</v>
      </c>
      <c r="C15" s="20">
        <v>44757</v>
      </c>
      <c r="D15" s="21" t="s">
        <v>18</v>
      </c>
      <c r="E15" s="21" t="s">
        <v>389</v>
      </c>
      <c r="F15" s="37">
        <v>8.5</v>
      </c>
      <c r="G15" s="37">
        <v>5</v>
      </c>
      <c r="H15" s="37">
        <v>-3.5</v>
      </c>
      <c r="I15" s="22">
        <v>1300</v>
      </c>
      <c r="J15" s="23">
        <f t="shared" si="1"/>
        <v>-4550</v>
      </c>
      <c r="K15" s="7"/>
      <c r="V15" s="5">
        <f>IF($J15&gt;0,1,0)</f>
        <v>0</v>
      </c>
      <c r="W15" s="5">
        <f>IF($J15&lt;0,1,0)</f>
        <v>1</v>
      </c>
    </row>
    <row r="16" spans="1:23" x14ac:dyDescent="0.3">
      <c r="A16" s="6"/>
      <c r="B16" s="19">
        <v>11</v>
      </c>
      <c r="C16" s="20">
        <v>44761</v>
      </c>
      <c r="D16" s="21" t="s">
        <v>18</v>
      </c>
      <c r="E16" s="21" t="s">
        <v>390</v>
      </c>
      <c r="F16" s="37">
        <v>36</v>
      </c>
      <c r="G16" s="37">
        <v>56</v>
      </c>
      <c r="H16" s="37">
        <v>20</v>
      </c>
      <c r="I16" s="22">
        <v>300</v>
      </c>
      <c r="J16" s="23">
        <f t="shared" si="1"/>
        <v>6000</v>
      </c>
      <c r="K16" s="7"/>
      <c r="V16" s="5">
        <f>IF($J16&gt;0,1,0)</f>
        <v>1</v>
      </c>
      <c r="W16" s="5">
        <f>IF($J16&lt;0,1,0)</f>
        <v>0</v>
      </c>
    </row>
    <row r="17" spans="1:23" x14ac:dyDescent="0.3">
      <c r="A17" s="6"/>
      <c r="B17" s="19">
        <v>12</v>
      </c>
      <c r="C17" s="20">
        <v>44761</v>
      </c>
      <c r="D17" s="21" t="s">
        <v>18</v>
      </c>
      <c r="E17" s="21" t="s">
        <v>391</v>
      </c>
      <c r="F17" s="37">
        <v>9</v>
      </c>
      <c r="G17" s="37">
        <v>16.350000000000001</v>
      </c>
      <c r="H17" s="37">
        <f>16.35-9</f>
        <v>7.3500000000000014</v>
      </c>
      <c r="I17" s="22">
        <v>1425</v>
      </c>
      <c r="J17" s="23">
        <f t="shared" si="1"/>
        <v>10473.750000000002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19">
        <v>13</v>
      </c>
      <c r="C18" s="20">
        <v>44761</v>
      </c>
      <c r="D18" s="21" t="s">
        <v>18</v>
      </c>
      <c r="E18" s="21" t="s">
        <v>394</v>
      </c>
      <c r="F18" s="37">
        <v>4</v>
      </c>
      <c r="G18" s="37">
        <v>8.85</v>
      </c>
      <c r="H18" s="37">
        <v>4.8499999999999996</v>
      </c>
      <c r="I18" s="22">
        <v>1000</v>
      </c>
      <c r="J18" s="23">
        <f t="shared" si="1"/>
        <v>4850</v>
      </c>
      <c r="K18" s="7"/>
    </row>
    <row r="19" spans="1:23" x14ac:dyDescent="0.3">
      <c r="A19" s="6"/>
      <c r="B19" s="19">
        <v>14</v>
      </c>
      <c r="C19" s="20">
        <v>44763</v>
      </c>
      <c r="D19" s="21" t="s">
        <v>18</v>
      </c>
      <c r="E19" s="21" t="s">
        <v>392</v>
      </c>
      <c r="F19" s="37">
        <v>33</v>
      </c>
      <c r="G19" s="37">
        <v>47.4</v>
      </c>
      <c r="H19" s="37">
        <f>47.4-33</f>
        <v>14.399999999999999</v>
      </c>
      <c r="I19" s="22">
        <v>500</v>
      </c>
      <c r="J19" s="23">
        <f t="shared" si="1"/>
        <v>7199.9999999999991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19">
        <v>14</v>
      </c>
      <c r="C20" s="20">
        <v>44763</v>
      </c>
      <c r="D20" s="21" t="s">
        <v>18</v>
      </c>
      <c r="E20" s="21" t="s">
        <v>393</v>
      </c>
      <c r="F20" s="37">
        <v>40</v>
      </c>
      <c r="G20" s="37">
        <v>55</v>
      </c>
      <c r="H20" s="37">
        <f>55-40</f>
        <v>15</v>
      </c>
      <c r="I20" s="22">
        <v>50</v>
      </c>
      <c r="J20" s="23">
        <f t="shared" si="1"/>
        <v>750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9">
        <v>15</v>
      </c>
      <c r="C21" s="20">
        <v>44764</v>
      </c>
      <c r="D21" s="21" t="s">
        <v>18</v>
      </c>
      <c r="E21" s="21" t="s">
        <v>395</v>
      </c>
      <c r="F21" s="37">
        <v>4</v>
      </c>
      <c r="G21" s="37">
        <v>1</v>
      </c>
      <c r="H21" s="37">
        <v>-3</v>
      </c>
      <c r="I21" s="22">
        <v>250</v>
      </c>
      <c r="J21" s="23">
        <f t="shared" si="1"/>
        <v>-750</v>
      </c>
      <c r="K21" s="7"/>
      <c r="V21" s="5">
        <f t="shared" si="2"/>
        <v>0</v>
      </c>
      <c r="W21" s="5">
        <f t="shared" si="3"/>
        <v>1</v>
      </c>
    </row>
    <row r="22" spans="1:23" x14ac:dyDescent="0.3">
      <c r="A22" s="6"/>
      <c r="B22" s="19">
        <v>16</v>
      </c>
      <c r="C22" s="20">
        <v>44764</v>
      </c>
      <c r="D22" s="21" t="s">
        <v>18</v>
      </c>
      <c r="E22" s="21" t="s">
        <v>396</v>
      </c>
      <c r="F22" s="37">
        <v>10</v>
      </c>
      <c r="G22" s="37">
        <v>18.5</v>
      </c>
      <c r="H22" s="37">
        <v>8.5</v>
      </c>
      <c r="I22" s="22">
        <v>300</v>
      </c>
      <c r="J22" s="23">
        <f t="shared" si="1"/>
        <v>2550</v>
      </c>
      <c r="K22" s="7"/>
      <c r="O22" s="24"/>
      <c r="P22" s="24"/>
      <c r="Q22" s="24"/>
      <c r="R22" s="24"/>
      <c r="V22" s="5">
        <f t="shared" si="2"/>
        <v>1</v>
      </c>
      <c r="W22" s="5">
        <f t="shared" si="3"/>
        <v>0</v>
      </c>
    </row>
    <row r="23" spans="1:23" x14ac:dyDescent="0.3">
      <c r="A23" s="6"/>
      <c r="B23" s="19">
        <v>17</v>
      </c>
      <c r="C23" s="20">
        <v>44767</v>
      </c>
      <c r="D23" s="21" t="s">
        <v>18</v>
      </c>
      <c r="E23" s="21" t="s">
        <v>397</v>
      </c>
      <c r="F23" s="37">
        <v>68</v>
      </c>
      <c r="G23" s="37">
        <v>40</v>
      </c>
      <c r="H23" s="37">
        <v>-28</v>
      </c>
      <c r="I23" s="22">
        <v>150</v>
      </c>
      <c r="J23" s="23">
        <f t="shared" si="1"/>
        <v>-4200</v>
      </c>
      <c r="K23" s="7"/>
      <c r="V23" s="5">
        <f t="shared" si="2"/>
        <v>0</v>
      </c>
      <c r="W23" s="5">
        <f t="shared" si="3"/>
        <v>1</v>
      </c>
    </row>
    <row r="24" spans="1:23" ht="15" thickBot="1" x14ac:dyDescent="0.35">
      <c r="A24" s="6"/>
      <c r="B24" s="19">
        <v>18</v>
      </c>
      <c r="C24" s="20">
        <v>44770</v>
      </c>
      <c r="D24" s="21" t="s">
        <v>18</v>
      </c>
      <c r="E24" s="21" t="s">
        <v>398</v>
      </c>
      <c r="F24" s="37">
        <v>30</v>
      </c>
      <c r="G24" s="37">
        <v>65</v>
      </c>
      <c r="H24" s="37">
        <v>35</v>
      </c>
      <c r="I24" s="22">
        <v>50</v>
      </c>
      <c r="J24" s="23">
        <f t="shared" si="1"/>
        <v>1750</v>
      </c>
      <c r="K24" s="7"/>
      <c r="V24" s="5">
        <f t="shared" si="2"/>
        <v>1</v>
      </c>
      <c r="W24" s="5">
        <f t="shared" si="3"/>
        <v>0</v>
      </c>
    </row>
    <row r="25" spans="1:23" hidden="1" x14ac:dyDescent="0.3">
      <c r="A25" s="6"/>
      <c r="B25" s="19">
        <v>19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20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21</v>
      </c>
      <c r="C27" s="20"/>
      <c r="D27" s="21"/>
      <c r="E27" s="21"/>
      <c r="F27" s="37"/>
      <c r="G27" s="37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idden="1" x14ac:dyDescent="0.3">
      <c r="A28" s="6"/>
      <c r="B28" s="19">
        <v>22</v>
      </c>
      <c r="C28" s="20"/>
      <c r="D28" s="21"/>
      <c r="E28" s="21"/>
      <c r="F28" s="22"/>
      <c r="G28" s="22"/>
      <c r="H28" s="21"/>
      <c r="I28" s="22"/>
      <c r="J28" s="23">
        <f t="shared" si="1"/>
        <v>0</v>
      </c>
      <c r="K28" s="7"/>
      <c r="V28" s="5">
        <f t="shared" si="2"/>
        <v>0</v>
      </c>
      <c r="W28" s="5">
        <f t="shared" si="3"/>
        <v>0</v>
      </c>
    </row>
    <row r="29" spans="1:23" hidden="1" x14ac:dyDescent="0.3">
      <c r="A29" s="6"/>
      <c r="B29" s="25">
        <v>11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hidden="1" x14ac:dyDescent="0.3">
      <c r="A30" s="6"/>
      <c r="B30" s="25">
        <v>12</v>
      </c>
      <c r="C30" s="26"/>
      <c r="D30" s="27"/>
      <c r="E30" s="27"/>
      <c r="F30" s="28"/>
      <c r="G30" s="52"/>
      <c r="H30" s="52"/>
      <c r="I30" s="28"/>
      <c r="J30" s="23">
        <f t="shared" si="1"/>
        <v>0</v>
      </c>
      <c r="K30" s="7"/>
    </row>
    <row r="31" spans="1:23" hidden="1" x14ac:dyDescent="0.3">
      <c r="A31" s="6"/>
      <c r="B31" s="25">
        <v>13</v>
      </c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idden="1" x14ac:dyDescent="0.3">
      <c r="A32" s="6"/>
      <c r="B32" s="25"/>
      <c r="C32" s="26"/>
      <c r="D32" s="27"/>
      <c r="E32" s="27"/>
      <c r="F32" s="52"/>
      <c r="G32" s="52"/>
      <c r="H32" s="52"/>
      <c r="I32" s="28"/>
      <c r="J32" s="23">
        <f t="shared" si="1"/>
        <v>0</v>
      </c>
      <c r="K32" s="7"/>
    </row>
    <row r="33" spans="1:23" ht="15" hidden="1" thickBot="1" x14ac:dyDescent="0.35">
      <c r="A33" s="6"/>
      <c r="B33" s="25"/>
      <c r="C33" s="26"/>
      <c r="D33" s="27"/>
      <c r="E33" s="27"/>
      <c r="F33" s="28"/>
      <c r="G33" s="28"/>
      <c r="H33" s="27"/>
      <c r="I33" s="28"/>
      <c r="J33" s="29">
        <f t="shared" si="1"/>
        <v>0</v>
      </c>
      <c r="K33" s="7"/>
      <c r="V33" s="5">
        <f t="shared" si="2"/>
        <v>0</v>
      </c>
      <c r="W33" s="5">
        <f t="shared" si="3"/>
        <v>0</v>
      </c>
    </row>
    <row r="34" spans="1:23" ht="24" thickBot="1" x14ac:dyDescent="0.5">
      <c r="A34" s="6"/>
      <c r="B34" s="85" t="s">
        <v>22</v>
      </c>
      <c r="C34" s="86"/>
      <c r="D34" s="86"/>
      <c r="E34" s="86"/>
      <c r="F34" s="86"/>
      <c r="G34" s="86"/>
      <c r="H34" s="87"/>
      <c r="I34" s="30" t="s">
        <v>23</v>
      </c>
      <c r="J34" s="31">
        <f>SUM(J6:J33)</f>
        <v>84773.75</v>
      </c>
      <c r="K34" s="7"/>
      <c r="V34" s="5">
        <f>SUM(V6:V33)</f>
        <v>14</v>
      </c>
      <c r="W34" s="5">
        <f>SUM(W6:W33)</f>
        <v>4</v>
      </c>
    </row>
    <row r="35" spans="1:23" ht="30" customHeight="1" thickBot="1" x14ac:dyDescent="0.35">
      <c r="A35" s="32"/>
      <c r="B35" s="33"/>
      <c r="C35" s="33"/>
      <c r="D35" s="33"/>
      <c r="E35" s="33"/>
      <c r="F35" s="33"/>
      <c r="G35" s="33"/>
      <c r="H35" s="34"/>
      <c r="I35" s="33"/>
      <c r="J35" s="34"/>
      <c r="K35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4:H34"/>
    <mergeCell ref="M6:M7"/>
    <mergeCell ref="N6:N7"/>
    <mergeCell ref="O6:O7"/>
    <mergeCell ref="P6:P7"/>
    <mergeCell ref="Q6:Q7"/>
    <mergeCell ref="R6:R7"/>
  </mergeCells>
  <hyperlinks>
    <hyperlink ref="B34" r:id="rId1" xr:uid="{00000000-0004-0000-2C00-000000000000}"/>
    <hyperlink ref="M1" location="MASTER!A1" display="Back" xr:uid="{00000000-0004-0000-2C00-000001000000}"/>
  </hyperlinks>
  <pageMargins left="0" right="0" top="0" bottom="0" header="0" footer="0"/>
  <pageSetup paperSize="9" orientation="portrait"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W35"/>
  <sheetViews>
    <sheetView workbookViewId="0">
      <selection activeCell="O4" sqref="O4:O5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44774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COUNT(C6:C33)</f>
        <v>13</v>
      </c>
      <c r="O4" s="108">
        <v>12</v>
      </c>
      <c r="P4" s="108">
        <f>W34</f>
        <v>1</v>
      </c>
      <c r="Q4" s="110">
        <v>0</v>
      </c>
      <c r="R4" s="94">
        <f>O4/N4</f>
        <v>0.92307692307692313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44776</v>
      </c>
      <c r="D6" s="16" t="s">
        <v>18</v>
      </c>
      <c r="E6" s="16" t="s">
        <v>399</v>
      </c>
      <c r="F6" s="51">
        <v>27</v>
      </c>
      <c r="G6" s="51">
        <v>44</v>
      </c>
      <c r="H6" s="51">
        <f>44-27</f>
        <v>17</v>
      </c>
      <c r="I6" s="17">
        <v>600</v>
      </c>
      <c r="J6" s="18">
        <f>H6*I6</f>
        <v>10200</v>
      </c>
      <c r="K6" s="7"/>
      <c r="M6" s="88" t="s">
        <v>19</v>
      </c>
      <c r="N6" s="90">
        <f>SUM(N4:N5)</f>
        <v>13</v>
      </c>
      <c r="O6" s="90">
        <f>SUM(O4:O5)</f>
        <v>12</v>
      </c>
      <c r="P6" s="90">
        <f>SUM(P4:P5)</f>
        <v>1</v>
      </c>
      <c r="Q6" s="92">
        <f>SUM(Q4:Q5)</f>
        <v>0</v>
      </c>
      <c r="R6" s="94">
        <f t="shared" ref="R6" si="0">O6/N6</f>
        <v>0.92307692307692313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44777</v>
      </c>
      <c r="D7" s="21" t="s">
        <v>18</v>
      </c>
      <c r="E7" s="21" t="s">
        <v>282</v>
      </c>
      <c r="F7" s="37">
        <v>30</v>
      </c>
      <c r="G7" s="37">
        <v>80</v>
      </c>
      <c r="H7" s="37">
        <v>50</v>
      </c>
      <c r="I7" s="22">
        <v>50</v>
      </c>
      <c r="J7" s="23">
        <f t="shared" ref="J7:J33" si="1">H7*I7</f>
        <v>2500</v>
      </c>
      <c r="K7" s="7"/>
      <c r="M7" s="89"/>
      <c r="N7" s="91"/>
      <c r="O7" s="91"/>
      <c r="P7" s="91"/>
      <c r="Q7" s="93"/>
      <c r="R7" s="95"/>
      <c r="V7" s="5">
        <f t="shared" ref="V7:V33" si="2">IF($J7&gt;0,1,0)</f>
        <v>1</v>
      </c>
      <c r="W7" s="5">
        <f t="shared" ref="W7:W33" si="3">IF($J7&lt;0,1,0)</f>
        <v>0</v>
      </c>
    </row>
    <row r="8" spans="1:23" x14ac:dyDescent="0.3">
      <c r="A8" s="6"/>
      <c r="B8" s="19">
        <v>3</v>
      </c>
      <c r="C8" s="20">
        <v>44781</v>
      </c>
      <c r="D8" s="21" t="s">
        <v>18</v>
      </c>
      <c r="E8" s="21" t="s">
        <v>400</v>
      </c>
      <c r="F8" s="37">
        <v>85</v>
      </c>
      <c r="G8" s="37">
        <v>95</v>
      </c>
      <c r="H8" s="37">
        <v>10</v>
      </c>
      <c r="I8" s="22">
        <v>175</v>
      </c>
      <c r="J8" s="23">
        <f t="shared" si="1"/>
        <v>1750</v>
      </c>
      <c r="K8" s="7"/>
      <c r="M8" s="67" t="s">
        <v>20</v>
      </c>
      <c r="N8" s="68"/>
      <c r="O8" s="69"/>
      <c r="P8" s="76">
        <f>R6</f>
        <v>0.92307692307692313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44783</v>
      </c>
      <c r="D9" s="21" t="s">
        <v>18</v>
      </c>
      <c r="E9" s="21" t="s">
        <v>401</v>
      </c>
      <c r="F9" s="37">
        <v>2.5</v>
      </c>
      <c r="G9" s="37">
        <v>5</v>
      </c>
      <c r="H9" s="37">
        <f>5-2.5</f>
        <v>2.5</v>
      </c>
      <c r="I9" s="22">
        <v>6000</v>
      </c>
      <c r="J9" s="23">
        <f t="shared" si="1"/>
        <v>15000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44784</v>
      </c>
      <c r="D10" s="21" t="s">
        <v>18</v>
      </c>
      <c r="E10" s="21" t="s">
        <v>310</v>
      </c>
      <c r="F10" s="37">
        <v>10</v>
      </c>
      <c r="G10" s="37">
        <v>25</v>
      </c>
      <c r="H10" s="37">
        <f>25-10</f>
        <v>15</v>
      </c>
      <c r="I10" s="22">
        <v>50</v>
      </c>
      <c r="J10" s="23">
        <f t="shared" si="1"/>
        <v>750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44789</v>
      </c>
      <c r="D11" s="21" t="s">
        <v>18</v>
      </c>
      <c r="E11" s="21" t="s">
        <v>402</v>
      </c>
      <c r="F11" s="37">
        <v>90</v>
      </c>
      <c r="G11" s="37">
        <v>255</v>
      </c>
      <c r="H11" s="37">
        <f>255-90</f>
        <v>165</v>
      </c>
      <c r="I11" s="22">
        <v>125</v>
      </c>
      <c r="J11" s="23">
        <f t="shared" si="1"/>
        <v>20625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44791</v>
      </c>
      <c r="D12" s="21" t="s">
        <v>18</v>
      </c>
      <c r="E12" s="21" t="s">
        <v>403</v>
      </c>
      <c r="F12" s="37">
        <v>35</v>
      </c>
      <c r="G12" s="37">
        <v>164</v>
      </c>
      <c r="H12" s="37">
        <f>164-35</f>
        <v>129</v>
      </c>
      <c r="I12" s="22">
        <v>50</v>
      </c>
      <c r="J12" s="23">
        <f t="shared" si="1"/>
        <v>6450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44791</v>
      </c>
      <c r="D13" s="21" t="s">
        <v>18</v>
      </c>
      <c r="E13" s="21" t="s">
        <v>404</v>
      </c>
      <c r="F13" s="37">
        <v>11</v>
      </c>
      <c r="G13" s="37">
        <v>6</v>
      </c>
      <c r="H13" s="37">
        <v>-5</v>
      </c>
      <c r="I13" s="22">
        <v>950</v>
      </c>
      <c r="J13" s="23">
        <f t="shared" si="1"/>
        <v>-4750</v>
      </c>
      <c r="K13" s="7"/>
      <c r="V13" s="5">
        <f t="shared" si="2"/>
        <v>0</v>
      </c>
      <c r="W13" s="5">
        <f t="shared" si="3"/>
        <v>1</v>
      </c>
    </row>
    <row r="14" spans="1:23" x14ac:dyDescent="0.3">
      <c r="A14" s="6"/>
      <c r="B14" s="19">
        <v>9</v>
      </c>
      <c r="C14" s="20">
        <v>44795</v>
      </c>
      <c r="D14" s="21" t="s">
        <v>18</v>
      </c>
      <c r="E14" s="21" t="s">
        <v>405</v>
      </c>
      <c r="F14" s="37">
        <v>30</v>
      </c>
      <c r="G14" s="37">
        <v>100</v>
      </c>
      <c r="H14" s="37">
        <f>100-30</f>
        <v>70</v>
      </c>
      <c r="I14" s="22">
        <v>500</v>
      </c>
      <c r="J14" s="23">
        <f t="shared" si="1"/>
        <v>35000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44796</v>
      </c>
      <c r="D15" s="21" t="s">
        <v>18</v>
      </c>
      <c r="E15" s="21" t="s">
        <v>406</v>
      </c>
      <c r="F15" s="37">
        <v>0.6</v>
      </c>
      <c r="G15" s="37">
        <v>0.8</v>
      </c>
      <c r="H15" s="37">
        <v>0.2</v>
      </c>
      <c r="I15" s="22">
        <v>4250</v>
      </c>
      <c r="J15" s="23">
        <f t="shared" si="1"/>
        <v>850</v>
      </c>
      <c r="K15" s="7"/>
      <c r="V15" s="5">
        <f>IF($J15&gt;0,1,0)</f>
        <v>1</v>
      </c>
      <c r="W15" s="5">
        <f>IF($J15&lt;0,1,0)</f>
        <v>0</v>
      </c>
    </row>
    <row r="16" spans="1:23" x14ac:dyDescent="0.3">
      <c r="A16" s="6"/>
      <c r="B16" s="19">
        <v>11</v>
      </c>
      <c r="C16" s="20">
        <v>44796</v>
      </c>
      <c r="D16" s="21" t="s">
        <v>18</v>
      </c>
      <c r="E16" s="21" t="s">
        <v>407</v>
      </c>
      <c r="F16" s="37">
        <v>2</v>
      </c>
      <c r="G16" s="37">
        <v>3.25</v>
      </c>
      <c r="H16" s="37">
        <v>1.35</v>
      </c>
      <c r="I16" s="22">
        <v>850</v>
      </c>
      <c r="J16" s="23">
        <f t="shared" si="1"/>
        <v>1147.5</v>
      </c>
      <c r="K16" s="7"/>
      <c r="V16" s="5">
        <f>IF($J16&gt;0,1,0)</f>
        <v>1</v>
      </c>
      <c r="W16" s="5">
        <f>IF($J16&lt;0,1,0)</f>
        <v>0</v>
      </c>
    </row>
    <row r="17" spans="1:23" x14ac:dyDescent="0.3">
      <c r="A17" s="6"/>
      <c r="B17" s="19">
        <v>12</v>
      </c>
      <c r="C17" s="20">
        <v>44798</v>
      </c>
      <c r="D17" s="21" t="s">
        <v>18</v>
      </c>
      <c r="E17" s="21" t="s">
        <v>408</v>
      </c>
      <c r="F17" s="37">
        <v>20</v>
      </c>
      <c r="G17" s="37">
        <v>30</v>
      </c>
      <c r="H17" s="37">
        <v>10</v>
      </c>
      <c r="I17" s="22">
        <v>100</v>
      </c>
      <c r="J17" s="23">
        <f t="shared" si="1"/>
        <v>1000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19">
        <v>13</v>
      </c>
      <c r="C18" s="20">
        <v>44799</v>
      </c>
      <c r="D18" s="21" t="s">
        <v>18</v>
      </c>
      <c r="E18" s="21" t="s">
        <v>409</v>
      </c>
      <c r="F18" s="37">
        <v>63</v>
      </c>
      <c r="G18" s="37">
        <v>93</v>
      </c>
      <c r="H18" s="37">
        <v>30</v>
      </c>
      <c r="I18" s="22">
        <v>375</v>
      </c>
      <c r="J18" s="23">
        <f t="shared" si="1"/>
        <v>11250</v>
      </c>
      <c r="K18" s="7"/>
    </row>
    <row r="19" spans="1:23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x14ac:dyDescent="0.3">
      <c r="A20" s="6"/>
      <c r="B20" s="19">
        <v>14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x14ac:dyDescent="0.3">
      <c r="A21" s="6"/>
      <c r="B21" s="19">
        <v>15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V21" s="5">
        <f t="shared" si="2"/>
        <v>0</v>
      </c>
      <c r="W21" s="5">
        <f t="shared" si="3"/>
        <v>0</v>
      </c>
    </row>
    <row r="22" spans="1:23" x14ac:dyDescent="0.3">
      <c r="A22" s="6"/>
      <c r="B22" s="19">
        <v>16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O22" s="24"/>
      <c r="P22" s="24"/>
      <c r="Q22" s="24"/>
      <c r="R22" s="24"/>
      <c r="V22" s="5">
        <f t="shared" si="2"/>
        <v>0</v>
      </c>
      <c r="W22" s="5">
        <f t="shared" si="3"/>
        <v>0</v>
      </c>
    </row>
    <row r="23" spans="1:23" x14ac:dyDescent="0.3">
      <c r="A23" s="6"/>
      <c r="B23" s="19">
        <v>17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t="15" thickBot="1" x14ac:dyDescent="0.35">
      <c r="A24" s="6"/>
      <c r="B24" s="19">
        <v>18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t="15" hidden="1" thickBot="1" x14ac:dyDescent="0.35">
      <c r="A25" s="6"/>
      <c r="B25" s="19">
        <v>19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t="15" hidden="1" thickBot="1" x14ac:dyDescent="0.35">
      <c r="A26" s="6"/>
      <c r="B26" s="19">
        <v>20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t="15" hidden="1" thickBot="1" x14ac:dyDescent="0.35">
      <c r="A27" s="6"/>
      <c r="B27" s="19">
        <v>21</v>
      </c>
      <c r="C27" s="20"/>
      <c r="D27" s="21"/>
      <c r="E27" s="21"/>
      <c r="F27" s="37"/>
      <c r="G27" s="37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t="15" hidden="1" thickBot="1" x14ac:dyDescent="0.35">
      <c r="A28" s="6"/>
      <c r="B28" s="19">
        <v>22</v>
      </c>
      <c r="C28" s="20"/>
      <c r="D28" s="21"/>
      <c r="E28" s="21"/>
      <c r="F28" s="22"/>
      <c r="G28" s="22"/>
      <c r="H28" s="21"/>
      <c r="I28" s="22"/>
      <c r="J28" s="23">
        <f t="shared" si="1"/>
        <v>0</v>
      </c>
      <c r="K28" s="7"/>
      <c r="V28" s="5">
        <f t="shared" si="2"/>
        <v>0</v>
      </c>
      <c r="W28" s="5">
        <f t="shared" si="3"/>
        <v>0</v>
      </c>
    </row>
    <row r="29" spans="1:23" ht="15" hidden="1" thickBot="1" x14ac:dyDescent="0.35">
      <c r="A29" s="6"/>
      <c r="B29" s="25">
        <v>11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ht="15" hidden="1" thickBot="1" x14ac:dyDescent="0.35">
      <c r="A30" s="6"/>
      <c r="B30" s="25">
        <v>12</v>
      </c>
      <c r="C30" s="26"/>
      <c r="D30" s="27"/>
      <c r="E30" s="27"/>
      <c r="F30" s="28"/>
      <c r="G30" s="52"/>
      <c r="H30" s="52"/>
      <c r="I30" s="28"/>
      <c r="J30" s="23">
        <f t="shared" si="1"/>
        <v>0</v>
      </c>
      <c r="K30" s="7"/>
    </row>
    <row r="31" spans="1:23" ht="15" hidden="1" thickBot="1" x14ac:dyDescent="0.35">
      <c r="A31" s="6"/>
      <c r="B31" s="25">
        <v>13</v>
      </c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hidden="1" thickBot="1" x14ac:dyDescent="0.35">
      <c r="A32" s="6"/>
      <c r="B32" s="25"/>
      <c r="C32" s="26"/>
      <c r="D32" s="27"/>
      <c r="E32" s="27"/>
      <c r="F32" s="52"/>
      <c r="G32" s="52"/>
      <c r="H32" s="52"/>
      <c r="I32" s="28"/>
      <c r="J32" s="23">
        <f t="shared" si="1"/>
        <v>0</v>
      </c>
      <c r="K32" s="7"/>
    </row>
    <row r="33" spans="1:23" ht="15" hidden="1" thickBot="1" x14ac:dyDescent="0.35">
      <c r="A33" s="6"/>
      <c r="B33" s="25"/>
      <c r="C33" s="26"/>
      <c r="D33" s="27"/>
      <c r="E33" s="27"/>
      <c r="F33" s="28"/>
      <c r="G33" s="28"/>
      <c r="H33" s="27"/>
      <c r="I33" s="28"/>
      <c r="J33" s="29">
        <f t="shared" si="1"/>
        <v>0</v>
      </c>
      <c r="K33" s="7"/>
      <c r="V33" s="5">
        <f t="shared" si="2"/>
        <v>0</v>
      </c>
      <c r="W33" s="5">
        <f t="shared" si="3"/>
        <v>0</v>
      </c>
    </row>
    <row r="34" spans="1:23" ht="24" thickBot="1" x14ac:dyDescent="0.5">
      <c r="A34" s="6"/>
      <c r="B34" s="85" t="s">
        <v>22</v>
      </c>
      <c r="C34" s="86"/>
      <c r="D34" s="86"/>
      <c r="E34" s="86"/>
      <c r="F34" s="86"/>
      <c r="G34" s="86"/>
      <c r="H34" s="87"/>
      <c r="I34" s="30" t="s">
        <v>23</v>
      </c>
      <c r="J34" s="31">
        <f>SUM(J6:J33)</f>
        <v>101772.5</v>
      </c>
      <c r="K34" s="7"/>
      <c r="V34" s="5">
        <f>SUM(V6:V33)</f>
        <v>11</v>
      </c>
      <c r="W34" s="5">
        <f>SUM(W6:W33)</f>
        <v>1</v>
      </c>
    </row>
    <row r="35" spans="1:23" ht="30" customHeight="1" thickBot="1" x14ac:dyDescent="0.35">
      <c r="A35" s="32"/>
      <c r="B35" s="33"/>
      <c r="C35" s="33"/>
      <c r="D35" s="33"/>
      <c r="E35" s="33"/>
      <c r="F35" s="33"/>
      <c r="G35" s="33"/>
      <c r="H35" s="34"/>
      <c r="I35" s="33"/>
      <c r="J35" s="34"/>
      <c r="K35" s="35"/>
    </row>
  </sheetData>
  <mergeCells count="24">
    <mergeCell ref="M8:O10"/>
    <mergeCell ref="P8:R10"/>
    <mergeCell ref="B34:H34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4" r:id="rId1" xr:uid="{00000000-0004-0000-2D00-000000000000}"/>
    <hyperlink ref="M1" location="MASTER!A1" display="Back" xr:uid="{00000000-0004-0000-2D00-000001000000}"/>
  </hyperlinks>
  <pageMargins left="0" right="0" top="0" bottom="0" header="0" footer="0"/>
  <pageSetup paperSize="9" orientation="portrait"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W35"/>
  <sheetViews>
    <sheetView workbookViewId="0">
      <selection activeCell="O4" sqref="O4:O5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44805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COUNT(C6:C33)</f>
        <v>9</v>
      </c>
      <c r="O4" s="108">
        <v>8</v>
      </c>
      <c r="P4" s="108">
        <f>W34</f>
        <v>1</v>
      </c>
      <c r="Q4" s="110">
        <v>0</v>
      </c>
      <c r="R4" s="94">
        <f>O4/N4</f>
        <v>0.88888888888888884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44806</v>
      </c>
      <c r="D6" s="16" t="s">
        <v>18</v>
      </c>
      <c r="E6" s="16" t="s">
        <v>411</v>
      </c>
      <c r="F6" s="51">
        <v>150</v>
      </c>
      <c r="G6" s="51">
        <v>213</v>
      </c>
      <c r="H6" s="51">
        <f>213-150</f>
        <v>63</v>
      </c>
      <c r="I6" s="17">
        <v>125</v>
      </c>
      <c r="J6" s="18">
        <f>H6*I6</f>
        <v>7875</v>
      </c>
      <c r="K6" s="7"/>
      <c r="M6" s="88" t="s">
        <v>19</v>
      </c>
      <c r="N6" s="90">
        <f>SUM(N4:N5)</f>
        <v>9</v>
      </c>
      <c r="O6" s="90">
        <f>SUM(O4:O5)</f>
        <v>8</v>
      </c>
      <c r="P6" s="90">
        <f>SUM(P4:P5)</f>
        <v>1</v>
      </c>
      <c r="Q6" s="92">
        <f>SUM(Q4:Q5)</f>
        <v>0</v>
      </c>
      <c r="R6" s="94">
        <f t="shared" ref="R6" si="0">O6/N6</f>
        <v>0.88888888888888884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44809</v>
      </c>
      <c r="D7" s="21" t="s">
        <v>18</v>
      </c>
      <c r="E7" s="21" t="s">
        <v>410</v>
      </c>
      <c r="F7" s="37">
        <v>75</v>
      </c>
      <c r="G7" s="37">
        <v>90</v>
      </c>
      <c r="H7" s="37">
        <f>90-75</f>
        <v>15</v>
      </c>
      <c r="I7" s="22">
        <v>150</v>
      </c>
      <c r="J7" s="23">
        <f t="shared" ref="J7:J33" si="1">H7*I7</f>
        <v>2250</v>
      </c>
      <c r="K7" s="7"/>
      <c r="M7" s="89"/>
      <c r="N7" s="91"/>
      <c r="O7" s="91"/>
      <c r="P7" s="91"/>
      <c r="Q7" s="93"/>
      <c r="R7" s="95"/>
      <c r="V7" s="5">
        <f t="shared" ref="V7:V33" si="2">IF($J7&gt;0,1,0)</f>
        <v>1</v>
      </c>
      <c r="W7" s="5">
        <f t="shared" ref="W7:W33" si="3">IF($J7&lt;0,1,0)</f>
        <v>0</v>
      </c>
    </row>
    <row r="8" spans="1:23" x14ac:dyDescent="0.3">
      <c r="A8" s="6"/>
      <c r="B8" s="19">
        <v>3</v>
      </c>
      <c r="C8" s="20">
        <v>44812</v>
      </c>
      <c r="D8" s="21" t="s">
        <v>18</v>
      </c>
      <c r="E8" s="21" t="s">
        <v>412</v>
      </c>
      <c r="F8" s="37">
        <v>20</v>
      </c>
      <c r="G8" s="37">
        <v>40</v>
      </c>
      <c r="H8" s="37">
        <v>20</v>
      </c>
      <c r="I8" s="22">
        <v>50</v>
      </c>
      <c r="J8" s="23">
        <f t="shared" si="1"/>
        <v>1000</v>
      </c>
      <c r="K8" s="7"/>
      <c r="M8" s="67" t="s">
        <v>20</v>
      </c>
      <c r="N8" s="68"/>
      <c r="O8" s="69"/>
      <c r="P8" s="76">
        <f>R6</f>
        <v>0.88888888888888884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44813</v>
      </c>
      <c r="D9" s="21" t="s">
        <v>18</v>
      </c>
      <c r="E9" s="21" t="s">
        <v>413</v>
      </c>
      <c r="F9" s="37">
        <v>135</v>
      </c>
      <c r="G9" s="37">
        <v>110</v>
      </c>
      <c r="H9" s="37">
        <v>-25</v>
      </c>
      <c r="I9" s="22">
        <v>150</v>
      </c>
      <c r="J9" s="23">
        <f t="shared" si="1"/>
        <v>-3750</v>
      </c>
      <c r="K9" s="7"/>
      <c r="M9" s="70"/>
      <c r="N9" s="71"/>
      <c r="O9" s="72"/>
      <c r="P9" s="79"/>
      <c r="Q9" s="80"/>
      <c r="R9" s="81"/>
      <c r="V9" s="5">
        <f t="shared" si="2"/>
        <v>0</v>
      </c>
      <c r="W9" s="5">
        <f t="shared" si="3"/>
        <v>1</v>
      </c>
    </row>
    <row r="10" spans="1:23" ht="15" thickBot="1" x14ac:dyDescent="0.35">
      <c r="A10" s="6"/>
      <c r="B10" s="19">
        <v>5</v>
      </c>
      <c r="C10" s="20">
        <v>44819</v>
      </c>
      <c r="D10" s="21" t="s">
        <v>18</v>
      </c>
      <c r="E10" s="21" t="s">
        <v>414</v>
      </c>
      <c r="F10" s="37">
        <v>10</v>
      </c>
      <c r="G10" s="37">
        <v>30</v>
      </c>
      <c r="H10" s="37">
        <v>20</v>
      </c>
      <c r="I10" s="22">
        <v>100</v>
      </c>
      <c r="J10" s="23">
        <f t="shared" si="1"/>
        <v>2000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44824</v>
      </c>
      <c r="D11" s="21" t="s">
        <v>18</v>
      </c>
      <c r="E11" s="21" t="s">
        <v>415</v>
      </c>
      <c r="F11" s="37">
        <v>75</v>
      </c>
      <c r="G11" s="37">
        <v>110</v>
      </c>
      <c r="H11" s="37">
        <f>110-75</f>
        <v>35</v>
      </c>
      <c r="I11" s="22">
        <v>200</v>
      </c>
      <c r="J11" s="23">
        <f t="shared" si="1"/>
        <v>7000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44827</v>
      </c>
      <c r="D12" s="21" t="s">
        <v>18</v>
      </c>
      <c r="E12" s="21" t="s">
        <v>416</v>
      </c>
      <c r="F12" s="37">
        <v>13</v>
      </c>
      <c r="G12" s="37">
        <v>51</v>
      </c>
      <c r="H12" s="37">
        <f>51-13</f>
        <v>38</v>
      </c>
      <c r="I12" s="22">
        <v>500</v>
      </c>
      <c r="J12" s="23">
        <f t="shared" si="1"/>
        <v>19000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44832</v>
      </c>
      <c r="D13" s="21" t="s">
        <v>18</v>
      </c>
      <c r="E13" s="21" t="s">
        <v>417</v>
      </c>
      <c r="F13" s="37">
        <v>10</v>
      </c>
      <c r="G13" s="37">
        <v>13.5</v>
      </c>
      <c r="H13" s="37">
        <v>3.5</v>
      </c>
      <c r="I13" s="22">
        <v>250</v>
      </c>
      <c r="J13" s="23">
        <f t="shared" si="1"/>
        <v>875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44833</v>
      </c>
      <c r="D14" s="21" t="s">
        <v>18</v>
      </c>
      <c r="E14" s="21" t="s">
        <v>282</v>
      </c>
      <c r="F14" s="37">
        <v>50</v>
      </c>
      <c r="G14" s="37">
        <v>95</v>
      </c>
      <c r="H14" s="37">
        <v>45</v>
      </c>
      <c r="I14" s="22">
        <v>50</v>
      </c>
      <c r="J14" s="23">
        <f t="shared" si="1"/>
        <v>2250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</row>
    <row r="19" spans="1:23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x14ac:dyDescent="0.3">
      <c r="A20" s="6"/>
      <c r="B20" s="19">
        <v>14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x14ac:dyDescent="0.3">
      <c r="A21" s="6"/>
      <c r="B21" s="19">
        <v>15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V21" s="5">
        <f t="shared" si="2"/>
        <v>0</v>
      </c>
      <c r="W21" s="5">
        <f t="shared" si="3"/>
        <v>0</v>
      </c>
    </row>
    <row r="22" spans="1:23" x14ac:dyDescent="0.3">
      <c r="A22" s="6"/>
      <c r="B22" s="19">
        <v>16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O22" s="24"/>
      <c r="P22" s="24"/>
      <c r="Q22" s="24"/>
      <c r="R22" s="24"/>
      <c r="V22" s="5">
        <f t="shared" si="2"/>
        <v>0</v>
      </c>
      <c r="W22" s="5">
        <f t="shared" si="3"/>
        <v>0</v>
      </c>
    </row>
    <row r="23" spans="1:23" x14ac:dyDescent="0.3">
      <c r="A23" s="6"/>
      <c r="B23" s="19">
        <v>17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t="15" thickBot="1" x14ac:dyDescent="0.35">
      <c r="A24" s="6"/>
      <c r="B24" s="19">
        <v>18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t="15" hidden="1" thickBot="1" x14ac:dyDescent="0.35">
      <c r="A25" s="6"/>
      <c r="B25" s="19">
        <v>19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t="15" hidden="1" thickBot="1" x14ac:dyDescent="0.35">
      <c r="A26" s="6"/>
      <c r="B26" s="19">
        <v>20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t="15" hidden="1" thickBot="1" x14ac:dyDescent="0.35">
      <c r="A27" s="6"/>
      <c r="B27" s="19">
        <v>21</v>
      </c>
      <c r="C27" s="20"/>
      <c r="D27" s="21"/>
      <c r="E27" s="21"/>
      <c r="F27" s="37"/>
      <c r="G27" s="37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t="15" hidden="1" thickBot="1" x14ac:dyDescent="0.35">
      <c r="A28" s="6"/>
      <c r="B28" s="19">
        <v>22</v>
      </c>
      <c r="C28" s="20"/>
      <c r="D28" s="21"/>
      <c r="E28" s="21"/>
      <c r="F28" s="22"/>
      <c r="G28" s="22"/>
      <c r="H28" s="21"/>
      <c r="I28" s="22"/>
      <c r="J28" s="23">
        <f t="shared" si="1"/>
        <v>0</v>
      </c>
      <c r="K28" s="7"/>
      <c r="V28" s="5">
        <f t="shared" si="2"/>
        <v>0</v>
      </c>
      <c r="W28" s="5">
        <f t="shared" si="3"/>
        <v>0</v>
      </c>
    </row>
    <row r="29" spans="1:23" ht="15" hidden="1" thickBot="1" x14ac:dyDescent="0.35">
      <c r="A29" s="6"/>
      <c r="B29" s="25">
        <v>11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ht="15" hidden="1" thickBot="1" x14ac:dyDescent="0.35">
      <c r="A30" s="6"/>
      <c r="B30" s="25">
        <v>12</v>
      </c>
      <c r="C30" s="26"/>
      <c r="D30" s="27"/>
      <c r="E30" s="27"/>
      <c r="F30" s="28"/>
      <c r="G30" s="52"/>
      <c r="H30" s="52"/>
      <c r="I30" s="28"/>
      <c r="J30" s="23">
        <f t="shared" si="1"/>
        <v>0</v>
      </c>
      <c r="K30" s="7"/>
    </row>
    <row r="31" spans="1:23" ht="15" hidden="1" thickBot="1" x14ac:dyDescent="0.35">
      <c r="A31" s="6"/>
      <c r="B31" s="25">
        <v>13</v>
      </c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hidden="1" thickBot="1" x14ac:dyDescent="0.35">
      <c r="A32" s="6"/>
      <c r="B32" s="25"/>
      <c r="C32" s="26"/>
      <c r="D32" s="27"/>
      <c r="E32" s="27"/>
      <c r="F32" s="52"/>
      <c r="G32" s="52"/>
      <c r="H32" s="52"/>
      <c r="I32" s="28"/>
      <c r="J32" s="23">
        <f t="shared" si="1"/>
        <v>0</v>
      </c>
      <c r="K32" s="7"/>
    </row>
    <row r="33" spans="1:23" ht="15" hidden="1" thickBot="1" x14ac:dyDescent="0.35">
      <c r="A33" s="6"/>
      <c r="B33" s="25"/>
      <c r="C33" s="26"/>
      <c r="D33" s="27"/>
      <c r="E33" s="27"/>
      <c r="F33" s="28"/>
      <c r="G33" s="28"/>
      <c r="H33" s="27"/>
      <c r="I33" s="28"/>
      <c r="J33" s="29">
        <f t="shared" si="1"/>
        <v>0</v>
      </c>
      <c r="K33" s="7"/>
      <c r="V33" s="5">
        <f t="shared" si="2"/>
        <v>0</v>
      </c>
      <c r="W33" s="5">
        <f t="shared" si="3"/>
        <v>0</v>
      </c>
    </row>
    <row r="34" spans="1:23" ht="24" thickBot="1" x14ac:dyDescent="0.5">
      <c r="A34" s="6"/>
      <c r="B34" s="85" t="s">
        <v>22</v>
      </c>
      <c r="C34" s="86"/>
      <c r="D34" s="86"/>
      <c r="E34" s="86"/>
      <c r="F34" s="86"/>
      <c r="G34" s="86"/>
      <c r="H34" s="87"/>
      <c r="I34" s="30" t="s">
        <v>23</v>
      </c>
      <c r="J34" s="31">
        <f>SUM(J6:J33)</f>
        <v>38500</v>
      </c>
      <c r="K34" s="7"/>
      <c r="V34" s="5">
        <f>SUM(V6:V33)</f>
        <v>8</v>
      </c>
      <c r="W34" s="5">
        <f>SUM(W6:W33)</f>
        <v>1</v>
      </c>
    </row>
    <row r="35" spans="1:23" ht="30" customHeight="1" thickBot="1" x14ac:dyDescent="0.35">
      <c r="A35" s="32"/>
      <c r="B35" s="33"/>
      <c r="C35" s="33"/>
      <c r="D35" s="33"/>
      <c r="E35" s="33"/>
      <c r="F35" s="33"/>
      <c r="G35" s="33"/>
      <c r="H35" s="34"/>
      <c r="I35" s="33"/>
      <c r="J35" s="34"/>
      <c r="K35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4:H34"/>
    <mergeCell ref="M6:M7"/>
    <mergeCell ref="N6:N7"/>
    <mergeCell ref="O6:O7"/>
    <mergeCell ref="P6:P7"/>
    <mergeCell ref="Q6:Q7"/>
    <mergeCell ref="R6:R7"/>
  </mergeCells>
  <hyperlinks>
    <hyperlink ref="B34" r:id="rId1" xr:uid="{00000000-0004-0000-2E00-000000000000}"/>
    <hyperlink ref="M1" location="MASTER!A1" display="Back" xr:uid="{00000000-0004-0000-2E00-000001000000}"/>
  </hyperlinks>
  <pageMargins left="0" right="0" top="0" bottom="0" header="0" footer="0"/>
  <pageSetup paperSize="9" orientation="portrait"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W35"/>
  <sheetViews>
    <sheetView workbookViewId="0">
      <selection activeCell="I17" sqref="I17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44835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COUNT(C6:C33)</f>
        <v>11</v>
      </c>
      <c r="O4" s="108">
        <v>9</v>
      </c>
      <c r="P4" s="108">
        <f>W34</f>
        <v>2</v>
      </c>
      <c r="Q4" s="110">
        <v>0</v>
      </c>
      <c r="R4" s="94">
        <f>O4/N4</f>
        <v>0.81818181818181823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44841</v>
      </c>
      <c r="D6" s="16" t="s">
        <v>18</v>
      </c>
      <c r="E6" s="16" t="s">
        <v>418</v>
      </c>
      <c r="F6" s="51">
        <v>41</v>
      </c>
      <c r="G6" s="51">
        <v>52</v>
      </c>
      <c r="H6" s="51">
        <v>11</v>
      </c>
      <c r="I6" s="17">
        <v>400</v>
      </c>
      <c r="J6" s="18">
        <f>H6*I6</f>
        <v>4400</v>
      </c>
      <c r="K6" s="7"/>
      <c r="M6" s="88" t="s">
        <v>19</v>
      </c>
      <c r="N6" s="90">
        <f>SUM(N4:N5)</f>
        <v>11</v>
      </c>
      <c r="O6" s="90">
        <f>SUM(O4:O5)</f>
        <v>9</v>
      </c>
      <c r="P6" s="90">
        <f>SUM(P4:P5)</f>
        <v>2</v>
      </c>
      <c r="Q6" s="92">
        <f>SUM(Q4:Q5)</f>
        <v>0</v>
      </c>
      <c r="R6" s="94">
        <f t="shared" ref="R6" si="0">O6/N6</f>
        <v>0.81818181818181823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44841</v>
      </c>
      <c r="D7" s="21" t="s">
        <v>18</v>
      </c>
      <c r="E7" s="21" t="s">
        <v>424</v>
      </c>
      <c r="F7" s="37">
        <v>20</v>
      </c>
      <c r="G7" s="37">
        <v>75</v>
      </c>
      <c r="H7" s="37">
        <f>75-20</f>
        <v>55</v>
      </c>
      <c r="I7" s="22">
        <v>100</v>
      </c>
      <c r="J7" s="23">
        <f t="shared" ref="J7:J33" si="1">H7*I7</f>
        <v>5500</v>
      </c>
      <c r="K7" s="7"/>
      <c r="M7" s="89"/>
      <c r="N7" s="91"/>
      <c r="O7" s="91"/>
      <c r="P7" s="91"/>
      <c r="Q7" s="93"/>
      <c r="R7" s="95"/>
      <c r="V7" s="5">
        <f t="shared" ref="V7:V33" si="2">IF($J7&gt;0,1,0)</f>
        <v>1</v>
      </c>
      <c r="W7" s="5">
        <f t="shared" ref="W7:W33" si="3">IF($J7&lt;0,1,0)</f>
        <v>0</v>
      </c>
    </row>
    <row r="8" spans="1:23" x14ac:dyDescent="0.3">
      <c r="A8" s="6"/>
      <c r="B8" s="19">
        <v>3</v>
      </c>
      <c r="C8" s="20">
        <v>44845</v>
      </c>
      <c r="D8" s="21" t="s">
        <v>18</v>
      </c>
      <c r="E8" s="21" t="s">
        <v>422</v>
      </c>
      <c r="F8" s="37">
        <v>45</v>
      </c>
      <c r="G8" s="37">
        <v>10</v>
      </c>
      <c r="H8" s="37">
        <v>-35</v>
      </c>
      <c r="I8" s="22">
        <v>125</v>
      </c>
      <c r="J8" s="23">
        <f t="shared" si="1"/>
        <v>-4375</v>
      </c>
      <c r="K8" s="7"/>
      <c r="M8" s="67" t="s">
        <v>20</v>
      </c>
      <c r="N8" s="68"/>
      <c r="O8" s="69"/>
      <c r="P8" s="76">
        <f>R6</f>
        <v>0.81818181818181823</v>
      </c>
      <c r="Q8" s="77"/>
      <c r="R8" s="78"/>
      <c r="V8" s="5">
        <f t="shared" si="2"/>
        <v>0</v>
      </c>
      <c r="W8" s="5">
        <f t="shared" si="3"/>
        <v>1</v>
      </c>
    </row>
    <row r="9" spans="1:23" x14ac:dyDescent="0.3">
      <c r="A9" s="6"/>
      <c r="B9" s="19">
        <v>4</v>
      </c>
      <c r="C9" s="20">
        <v>44847</v>
      </c>
      <c r="D9" s="21" t="s">
        <v>18</v>
      </c>
      <c r="E9" s="21" t="s">
        <v>427</v>
      </c>
      <c r="F9" s="37">
        <v>20</v>
      </c>
      <c r="G9" s="37">
        <v>0</v>
      </c>
      <c r="H9" s="37">
        <v>-20</v>
      </c>
      <c r="I9" s="22">
        <v>100</v>
      </c>
      <c r="J9" s="23">
        <f t="shared" si="1"/>
        <v>-2000</v>
      </c>
      <c r="K9" s="7"/>
      <c r="M9" s="70"/>
      <c r="N9" s="71"/>
      <c r="O9" s="72"/>
      <c r="P9" s="79"/>
      <c r="Q9" s="80"/>
      <c r="R9" s="81"/>
      <c r="V9" s="5">
        <f t="shared" si="2"/>
        <v>0</v>
      </c>
      <c r="W9" s="5">
        <f t="shared" si="3"/>
        <v>1</v>
      </c>
    </row>
    <row r="10" spans="1:23" ht="15" thickBot="1" x14ac:dyDescent="0.35">
      <c r="A10" s="6"/>
      <c r="B10" s="19">
        <v>5</v>
      </c>
      <c r="C10" s="20">
        <v>44847</v>
      </c>
      <c r="D10" s="21" t="s">
        <v>18</v>
      </c>
      <c r="E10" s="21" t="s">
        <v>428</v>
      </c>
      <c r="F10" s="37">
        <v>50</v>
      </c>
      <c r="G10" s="37">
        <v>82</v>
      </c>
      <c r="H10" s="37">
        <f>82-50</f>
        <v>32</v>
      </c>
      <c r="I10" s="22">
        <v>50</v>
      </c>
      <c r="J10" s="23">
        <f t="shared" si="1"/>
        <v>1600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44848</v>
      </c>
      <c r="D11" s="21" t="s">
        <v>18</v>
      </c>
      <c r="E11" s="21" t="s">
        <v>419</v>
      </c>
      <c r="F11" s="37">
        <v>15</v>
      </c>
      <c r="G11" s="37">
        <v>21.95</v>
      </c>
      <c r="H11" s="37">
        <f>21.95-15</f>
        <v>6.9499999999999993</v>
      </c>
      <c r="I11" s="22">
        <v>800</v>
      </c>
      <c r="J11" s="23">
        <f t="shared" si="1"/>
        <v>5559.9999999999991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44852</v>
      </c>
      <c r="D12" s="21" t="s">
        <v>18</v>
      </c>
      <c r="E12" s="21" t="s">
        <v>420</v>
      </c>
      <c r="F12" s="37">
        <v>70</v>
      </c>
      <c r="G12" s="37">
        <v>90</v>
      </c>
      <c r="H12" s="37">
        <v>20</v>
      </c>
      <c r="I12" s="22">
        <v>250</v>
      </c>
      <c r="J12" s="23">
        <f t="shared" si="1"/>
        <v>5000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44854</v>
      </c>
      <c r="D13" s="21" t="s">
        <v>18</v>
      </c>
      <c r="E13" s="21" t="s">
        <v>421</v>
      </c>
      <c r="F13" s="37">
        <v>26</v>
      </c>
      <c r="G13" s="37">
        <v>56</v>
      </c>
      <c r="H13" s="37">
        <f>56-26</f>
        <v>30</v>
      </c>
      <c r="I13" s="22">
        <v>400</v>
      </c>
      <c r="J13" s="23">
        <f t="shared" si="1"/>
        <v>12000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44854</v>
      </c>
      <c r="D14" s="21" t="s">
        <v>18</v>
      </c>
      <c r="E14" s="21" t="s">
        <v>423</v>
      </c>
      <c r="F14" s="37">
        <v>20</v>
      </c>
      <c r="G14" s="37">
        <v>30</v>
      </c>
      <c r="H14" s="37">
        <v>10</v>
      </c>
      <c r="I14" s="22">
        <v>100</v>
      </c>
      <c r="J14" s="23">
        <f t="shared" si="1"/>
        <v>1000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44854</v>
      </c>
      <c r="D15" s="21" t="s">
        <v>18</v>
      </c>
      <c r="E15" s="21" t="s">
        <v>425</v>
      </c>
      <c r="F15" s="37">
        <v>30</v>
      </c>
      <c r="G15" s="37">
        <v>58</v>
      </c>
      <c r="H15" s="37">
        <f>58-30</f>
        <v>28</v>
      </c>
      <c r="I15" s="22">
        <v>50</v>
      </c>
      <c r="J15" s="23">
        <f t="shared" si="1"/>
        <v>1400</v>
      </c>
      <c r="K15" s="7"/>
      <c r="V15" s="5">
        <f>IF($J15&gt;0,1,0)</f>
        <v>1</v>
      </c>
      <c r="W15" s="5">
        <f>IF($J15&lt;0,1,0)</f>
        <v>0</v>
      </c>
    </row>
    <row r="16" spans="1:23" x14ac:dyDescent="0.3">
      <c r="A16" s="6"/>
      <c r="B16" s="19">
        <v>11</v>
      </c>
      <c r="C16" s="20">
        <v>44865</v>
      </c>
      <c r="D16" s="21" t="s">
        <v>18</v>
      </c>
      <c r="E16" s="21" t="s">
        <v>426</v>
      </c>
      <c r="F16" s="37">
        <v>135</v>
      </c>
      <c r="G16" s="37">
        <v>210</v>
      </c>
      <c r="H16" s="37">
        <f>210-135</f>
        <v>75</v>
      </c>
      <c r="I16" s="22">
        <v>100</v>
      </c>
      <c r="J16" s="23">
        <f t="shared" si="1"/>
        <v>7500</v>
      </c>
      <c r="K16" s="7"/>
      <c r="V16" s="5">
        <f>IF($J16&gt;0,1,0)</f>
        <v>1</v>
      </c>
      <c r="W16" s="5">
        <f>IF($J16&lt;0,1,0)</f>
        <v>0</v>
      </c>
    </row>
    <row r="17" spans="1:23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</row>
    <row r="19" spans="1:23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x14ac:dyDescent="0.3">
      <c r="A20" s="6"/>
      <c r="B20" s="19">
        <v>14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x14ac:dyDescent="0.3">
      <c r="A21" s="6"/>
      <c r="B21" s="19">
        <v>15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V21" s="5">
        <f t="shared" si="2"/>
        <v>0</v>
      </c>
      <c r="W21" s="5">
        <f t="shared" si="3"/>
        <v>0</v>
      </c>
    </row>
    <row r="22" spans="1:23" x14ac:dyDescent="0.3">
      <c r="A22" s="6"/>
      <c r="B22" s="19">
        <v>16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O22" s="24"/>
      <c r="P22" s="24"/>
      <c r="Q22" s="24"/>
      <c r="R22" s="24"/>
      <c r="V22" s="5">
        <f t="shared" si="2"/>
        <v>0</v>
      </c>
      <c r="W22" s="5">
        <f t="shared" si="3"/>
        <v>0</v>
      </c>
    </row>
    <row r="23" spans="1:23" x14ac:dyDescent="0.3">
      <c r="A23" s="6"/>
      <c r="B23" s="19">
        <v>17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t="15" thickBot="1" x14ac:dyDescent="0.35">
      <c r="A24" s="6"/>
      <c r="B24" s="19">
        <v>18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t="15" hidden="1" thickBot="1" x14ac:dyDescent="0.35">
      <c r="A25" s="6"/>
      <c r="B25" s="19">
        <v>19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t="15" hidden="1" thickBot="1" x14ac:dyDescent="0.35">
      <c r="A26" s="6"/>
      <c r="B26" s="19">
        <v>20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t="15" hidden="1" thickBot="1" x14ac:dyDescent="0.35">
      <c r="A27" s="6"/>
      <c r="B27" s="19">
        <v>21</v>
      </c>
      <c r="C27" s="20"/>
      <c r="D27" s="21"/>
      <c r="E27" s="21"/>
      <c r="F27" s="37"/>
      <c r="G27" s="37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t="15" hidden="1" thickBot="1" x14ac:dyDescent="0.35">
      <c r="A28" s="6"/>
      <c r="B28" s="19">
        <v>22</v>
      </c>
      <c r="C28" s="20"/>
      <c r="D28" s="21"/>
      <c r="E28" s="21"/>
      <c r="F28" s="22"/>
      <c r="G28" s="22"/>
      <c r="H28" s="21"/>
      <c r="I28" s="22"/>
      <c r="J28" s="23">
        <f t="shared" si="1"/>
        <v>0</v>
      </c>
      <c r="K28" s="7"/>
      <c r="V28" s="5">
        <f t="shared" si="2"/>
        <v>0</v>
      </c>
      <c r="W28" s="5">
        <f t="shared" si="3"/>
        <v>0</v>
      </c>
    </row>
    <row r="29" spans="1:23" ht="15" hidden="1" thickBot="1" x14ac:dyDescent="0.35">
      <c r="A29" s="6"/>
      <c r="B29" s="25">
        <v>11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ht="15" hidden="1" thickBot="1" x14ac:dyDescent="0.35">
      <c r="A30" s="6"/>
      <c r="B30" s="25">
        <v>12</v>
      </c>
      <c r="C30" s="26"/>
      <c r="D30" s="27"/>
      <c r="E30" s="27"/>
      <c r="F30" s="28"/>
      <c r="G30" s="52"/>
      <c r="H30" s="52"/>
      <c r="I30" s="28"/>
      <c r="J30" s="23">
        <f t="shared" si="1"/>
        <v>0</v>
      </c>
      <c r="K30" s="7"/>
    </row>
    <row r="31" spans="1:23" ht="15" hidden="1" thickBot="1" x14ac:dyDescent="0.35">
      <c r="A31" s="6"/>
      <c r="B31" s="25">
        <v>13</v>
      </c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hidden="1" thickBot="1" x14ac:dyDescent="0.35">
      <c r="A32" s="6"/>
      <c r="B32" s="25"/>
      <c r="C32" s="26"/>
      <c r="D32" s="27"/>
      <c r="E32" s="27"/>
      <c r="F32" s="52"/>
      <c r="G32" s="52"/>
      <c r="H32" s="52"/>
      <c r="I32" s="28"/>
      <c r="J32" s="23">
        <f t="shared" si="1"/>
        <v>0</v>
      </c>
      <c r="K32" s="7"/>
    </row>
    <row r="33" spans="1:23" ht="15" hidden="1" thickBot="1" x14ac:dyDescent="0.35">
      <c r="A33" s="6"/>
      <c r="B33" s="25"/>
      <c r="C33" s="26"/>
      <c r="D33" s="27"/>
      <c r="E33" s="27"/>
      <c r="F33" s="28"/>
      <c r="G33" s="28"/>
      <c r="H33" s="27"/>
      <c r="I33" s="28"/>
      <c r="J33" s="29">
        <f t="shared" si="1"/>
        <v>0</v>
      </c>
      <c r="K33" s="7"/>
      <c r="V33" s="5">
        <f t="shared" si="2"/>
        <v>0</v>
      </c>
      <c r="W33" s="5">
        <f t="shared" si="3"/>
        <v>0</v>
      </c>
    </row>
    <row r="34" spans="1:23" ht="24" thickBot="1" x14ac:dyDescent="0.5">
      <c r="A34" s="6"/>
      <c r="B34" s="85" t="s">
        <v>22</v>
      </c>
      <c r="C34" s="86"/>
      <c r="D34" s="86"/>
      <c r="E34" s="86"/>
      <c r="F34" s="86"/>
      <c r="G34" s="86"/>
      <c r="H34" s="87"/>
      <c r="I34" s="30" t="s">
        <v>23</v>
      </c>
      <c r="J34" s="31">
        <f>SUM(J6:J33)</f>
        <v>37585</v>
      </c>
      <c r="K34" s="7"/>
      <c r="V34" s="5">
        <f>SUM(V6:V33)</f>
        <v>9</v>
      </c>
      <c r="W34" s="5">
        <f>SUM(W6:W33)</f>
        <v>2</v>
      </c>
    </row>
    <row r="35" spans="1:23" ht="30" customHeight="1" thickBot="1" x14ac:dyDescent="0.35">
      <c r="A35" s="32"/>
      <c r="B35" s="33"/>
      <c r="C35" s="33"/>
      <c r="D35" s="33"/>
      <c r="E35" s="33"/>
      <c r="F35" s="33"/>
      <c r="G35" s="33"/>
      <c r="H35" s="34"/>
      <c r="I35" s="33"/>
      <c r="J35" s="34"/>
      <c r="K35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4:H34"/>
    <mergeCell ref="M6:M7"/>
    <mergeCell ref="N6:N7"/>
    <mergeCell ref="O6:O7"/>
    <mergeCell ref="P6:P7"/>
    <mergeCell ref="Q6:Q7"/>
    <mergeCell ref="R6:R7"/>
  </mergeCells>
  <hyperlinks>
    <hyperlink ref="B34" r:id="rId1" xr:uid="{00000000-0004-0000-2F00-000000000000}"/>
    <hyperlink ref="M1" location="MASTER!A1" display="Back" xr:uid="{00000000-0004-0000-2F00-000001000000}"/>
  </hyperlinks>
  <pageMargins left="0" right="0" top="0" bottom="0" header="0" footer="0"/>
  <pageSetup paperSize="9" orientation="portrait"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W35"/>
  <sheetViews>
    <sheetView workbookViewId="0">
      <selection activeCell="O4" sqref="O4:O5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44866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COUNT(C6:C33)</f>
        <v>12</v>
      </c>
      <c r="O4" s="108">
        <v>11</v>
      </c>
      <c r="P4" s="108">
        <f>W34</f>
        <v>1</v>
      </c>
      <c r="Q4" s="110">
        <v>0</v>
      </c>
      <c r="R4" s="94">
        <f>O4/N4</f>
        <v>0.91666666666666663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44866</v>
      </c>
      <c r="D6" s="16" t="s">
        <v>18</v>
      </c>
      <c r="E6" s="16" t="s">
        <v>429</v>
      </c>
      <c r="F6" s="51">
        <v>180</v>
      </c>
      <c r="G6" s="51">
        <v>195</v>
      </c>
      <c r="H6" s="51">
        <f>195-180</f>
        <v>15</v>
      </c>
      <c r="I6" s="17">
        <v>125</v>
      </c>
      <c r="J6" s="18">
        <f>H6*I6</f>
        <v>1875</v>
      </c>
      <c r="K6" s="7"/>
      <c r="M6" s="88" t="s">
        <v>19</v>
      </c>
      <c r="N6" s="90">
        <f>SUM(N4:N5)</f>
        <v>12</v>
      </c>
      <c r="O6" s="90">
        <f>SUM(O4:O5)</f>
        <v>11</v>
      </c>
      <c r="P6" s="90">
        <f>SUM(P4:P5)</f>
        <v>1</v>
      </c>
      <c r="Q6" s="92">
        <f>SUM(Q4:Q5)</f>
        <v>0</v>
      </c>
      <c r="R6" s="94">
        <f t="shared" ref="R6" si="0">O6/N6</f>
        <v>0.91666666666666663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44867</v>
      </c>
      <c r="D7" s="21" t="s">
        <v>18</v>
      </c>
      <c r="E7" s="21" t="s">
        <v>430</v>
      </c>
      <c r="F7" s="37">
        <v>15</v>
      </c>
      <c r="G7" s="37">
        <v>20</v>
      </c>
      <c r="H7" s="37">
        <v>5</v>
      </c>
      <c r="I7" s="22">
        <v>1150</v>
      </c>
      <c r="J7" s="23">
        <f t="shared" ref="J7:J33" si="1">H7*I7</f>
        <v>5750</v>
      </c>
      <c r="K7" s="7"/>
      <c r="M7" s="89"/>
      <c r="N7" s="91"/>
      <c r="O7" s="91"/>
      <c r="P7" s="91"/>
      <c r="Q7" s="93"/>
      <c r="R7" s="95"/>
      <c r="V7" s="5">
        <f t="shared" ref="V7:V33" si="2">IF($J7&gt;0,1,0)</f>
        <v>1</v>
      </c>
      <c r="W7" s="5">
        <f t="shared" ref="W7:W33" si="3">IF($J7&lt;0,1,0)</f>
        <v>0</v>
      </c>
    </row>
    <row r="8" spans="1:23" x14ac:dyDescent="0.3">
      <c r="A8" s="6"/>
      <c r="B8" s="19">
        <v>3</v>
      </c>
      <c r="C8" s="20">
        <v>44868</v>
      </c>
      <c r="D8" s="21" t="s">
        <v>18</v>
      </c>
      <c r="E8" s="21" t="s">
        <v>432</v>
      </c>
      <c r="F8" s="37">
        <v>30</v>
      </c>
      <c r="G8" s="37">
        <v>90</v>
      </c>
      <c r="H8" s="37">
        <v>60</v>
      </c>
      <c r="I8" s="22">
        <v>50</v>
      </c>
      <c r="J8" s="23">
        <f t="shared" si="1"/>
        <v>3000</v>
      </c>
      <c r="K8" s="7"/>
      <c r="M8" s="67" t="s">
        <v>20</v>
      </c>
      <c r="N8" s="68"/>
      <c r="O8" s="69"/>
      <c r="P8" s="76">
        <f>R6</f>
        <v>0.91666666666666663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44869</v>
      </c>
      <c r="D9" s="21" t="s">
        <v>18</v>
      </c>
      <c r="E9" s="21" t="s">
        <v>431</v>
      </c>
      <c r="F9" s="37">
        <v>140</v>
      </c>
      <c r="G9" s="37">
        <v>305</v>
      </c>
      <c r="H9" s="37">
        <v>165</v>
      </c>
      <c r="I9" s="22">
        <v>250</v>
      </c>
      <c r="J9" s="23">
        <f t="shared" si="1"/>
        <v>41250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44874</v>
      </c>
      <c r="D10" s="21" t="s">
        <v>18</v>
      </c>
      <c r="E10" s="21" t="s">
        <v>433</v>
      </c>
      <c r="F10" s="37">
        <v>12</v>
      </c>
      <c r="G10" s="37">
        <v>14.3</v>
      </c>
      <c r="H10" s="37">
        <v>2.2999999999999998</v>
      </c>
      <c r="I10" s="22">
        <v>375</v>
      </c>
      <c r="J10" s="23">
        <f t="shared" si="1"/>
        <v>862.49999999999989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44875</v>
      </c>
      <c r="D11" s="21" t="s">
        <v>18</v>
      </c>
      <c r="E11" s="21" t="s">
        <v>434</v>
      </c>
      <c r="F11" s="37">
        <v>40</v>
      </c>
      <c r="G11" s="37">
        <v>55</v>
      </c>
      <c r="H11" s="37">
        <v>15</v>
      </c>
      <c r="I11" s="22">
        <v>50</v>
      </c>
      <c r="J11" s="23">
        <f t="shared" si="1"/>
        <v>750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44879</v>
      </c>
      <c r="D12" s="21" t="s">
        <v>18</v>
      </c>
      <c r="E12" s="21" t="s">
        <v>435</v>
      </c>
      <c r="F12" s="37">
        <v>60</v>
      </c>
      <c r="G12" s="37">
        <v>73</v>
      </c>
      <c r="H12" s="37">
        <v>13</v>
      </c>
      <c r="I12" s="22">
        <v>200</v>
      </c>
      <c r="J12" s="23">
        <f t="shared" si="1"/>
        <v>2600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44882</v>
      </c>
      <c r="D13" s="21" t="s">
        <v>18</v>
      </c>
      <c r="E13" s="21" t="s">
        <v>436</v>
      </c>
      <c r="F13" s="37">
        <v>20</v>
      </c>
      <c r="G13" s="37">
        <v>60</v>
      </c>
      <c r="H13" s="37">
        <v>40</v>
      </c>
      <c r="I13" s="22">
        <v>100</v>
      </c>
      <c r="J13" s="23">
        <f t="shared" si="1"/>
        <v>4000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44882</v>
      </c>
      <c r="D14" s="21" t="s">
        <v>18</v>
      </c>
      <c r="E14" s="21" t="s">
        <v>437</v>
      </c>
      <c r="F14" s="37">
        <v>35</v>
      </c>
      <c r="G14" s="37">
        <v>44</v>
      </c>
      <c r="H14" s="37">
        <v>9</v>
      </c>
      <c r="I14" s="22">
        <v>50</v>
      </c>
      <c r="J14" s="23">
        <f t="shared" si="1"/>
        <v>450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44883</v>
      </c>
      <c r="D15" s="21" t="s">
        <v>18</v>
      </c>
      <c r="E15" s="21" t="s">
        <v>438</v>
      </c>
      <c r="F15" s="37">
        <v>90</v>
      </c>
      <c r="G15" s="37">
        <v>72</v>
      </c>
      <c r="H15" s="37">
        <v>-18</v>
      </c>
      <c r="I15" s="22">
        <v>250</v>
      </c>
      <c r="J15" s="23">
        <f t="shared" si="1"/>
        <v>-4500</v>
      </c>
      <c r="K15" s="7"/>
      <c r="V15" s="5">
        <f>IF($J15&gt;0,1,0)</f>
        <v>0</v>
      </c>
      <c r="W15" s="5">
        <f>IF($J15&lt;0,1,0)</f>
        <v>1</v>
      </c>
    </row>
    <row r="16" spans="1:23" x14ac:dyDescent="0.3">
      <c r="A16" s="6"/>
      <c r="B16" s="19">
        <v>11</v>
      </c>
      <c r="C16" s="20">
        <v>44889</v>
      </c>
      <c r="D16" s="21" t="s">
        <v>18</v>
      </c>
      <c r="E16" s="21" t="s">
        <v>439</v>
      </c>
      <c r="F16" s="37">
        <v>35</v>
      </c>
      <c r="G16" s="37">
        <v>70</v>
      </c>
      <c r="H16" s="37">
        <v>35</v>
      </c>
      <c r="I16" s="22">
        <v>50</v>
      </c>
      <c r="J16" s="23">
        <f t="shared" si="1"/>
        <v>1750</v>
      </c>
      <c r="K16" s="7"/>
      <c r="V16" s="5">
        <f>IF($J16&gt;0,1,0)</f>
        <v>1</v>
      </c>
      <c r="W16" s="5">
        <f>IF($J16&lt;0,1,0)</f>
        <v>0</v>
      </c>
    </row>
    <row r="17" spans="1:23" x14ac:dyDescent="0.3">
      <c r="A17" s="6"/>
      <c r="B17" s="19">
        <v>12</v>
      </c>
      <c r="C17" s="20">
        <v>44895</v>
      </c>
      <c r="D17" s="21" t="s">
        <v>18</v>
      </c>
      <c r="E17" s="21" t="s">
        <v>440</v>
      </c>
      <c r="F17" s="37">
        <v>90</v>
      </c>
      <c r="G17" s="37">
        <v>110</v>
      </c>
      <c r="H17" s="37">
        <f>110-90</f>
        <v>20</v>
      </c>
      <c r="I17" s="22">
        <v>200</v>
      </c>
      <c r="J17" s="23">
        <f t="shared" si="1"/>
        <v>4000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</row>
    <row r="19" spans="1:23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x14ac:dyDescent="0.3">
      <c r="A20" s="6"/>
      <c r="B20" s="19">
        <v>14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x14ac:dyDescent="0.3">
      <c r="A21" s="6"/>
      <c r="B21" s="19">
        <v>15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V21" s="5">
        <f t="shared" si="2"/>
        <v>0</v>
      </c>
      <c r="W21" s="5">
        <f t="shared" si="3"/>
        <v>0</v>
      </c>
    </row>
    <row r="22" spans="1:23" x14ac:dyDescent="0.3">
      <c r="A22" s="6"/>
      <c r="B22" s="19">
        <v>16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O22" s="24"/>
      <c r="P22" s="24"/>
      <c r="Q22" s="24"/>
      <c r="R22" s="24"/>
      <c r="V22" s="5">
        <f t="shared" si="2"/>
        <v>0</v>
      </c>
      <c r="W22" s="5">
        <f t="shared" si="3"/>
        <v>0</v>
      </c>
    </row>
    <row r="23" spans="1:23" x14ac:dyDescent="0.3">
      <c r="A23" s="6"/>
      <c r="B23" s="19">
        <v>17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t="15" thickBot="1" x14ac:dyDescent="0.35">
      <c r="A24" s="6"/>
      <c r="B24" s="19">
        <v>18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t="15" hidden="1" thickBot="1" x14ac:dyDescent="0.35">
      <c r="A25" s="6"/>
      <c r="B25" s="19">
        <v>19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t="15" hidden="1" thickBot="1" x14ac:dyDescent="0.35">
      <c r="A26" s="6"/>
      <c r="B26" s="19">
        <v>20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t="15" hidden="1" thickBot="1" x14ac:dyDescent="0.35">
      <c r="A27" s="6"/>
      <c r="B27" s="19">
        <v>21</v>
      </c>
      <c r="C27" s="20"/>
      <c r="D27" s="21"/>
      <c r="E27" s="21"/>
      <c r="F27" s="37"/>
      <c r="G27" s="37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t="15" hidden="1" thickBot="1" x14ac:dyDescent="0.35">
      <c r="A28" s="6"/>
      <c r="B28" s="19">
        <v>22</v>
      </c>
      <c r="C28" s="20"/>
      <c r="D28" s="21"/>
      <c r="E28" s="21"/>
      <c r="F28" s="22"/>
      <c r="G28" s="22"/>
      <c r="H28" s="21"/>
      <c r="I28" s="22"/>
      <c r="J28" s="23">
        <f t="shared" si="1"/>
        <v>0</v>
      </c>
      <c r="K28" s="7"/>
      <c r="V28" s="5">
        <f t="shared" si="2"/>
        <v>0</v>
      </c>
      <c r="W28" s="5">
        <f t="shared" si="3"/>
        <v>0</v>
      </c>
    </row>
    <row r="29" spans="1:23" ht="15" hidden="1" thickBot="1" x14ac:dyDescent="0.35">
      <c r="A29" s="6"/>
      <c r="B29" s="25">
        <v>11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ht="15" hidden="1" thickBot="1" x14ac:dyDescent="0.35">
      <c r="A30" s="6"/>
      <c r="B30" s="25">
        <v>12</v>
      </c>
      <c r="C30" s="26"/>
      <c r="D30" s="27"/>
      <c r="E30" s="27"/>
      <c r="F30" s="28"/>
      <c r="G30" s="52"/>
      <c r="H30" s="52"/>
      <c r="I30" s="28"/>
      <c r="J30" s="23">
        <f t="shared" si="1"/>
        <v>0</v>
      </c>
      <c r="K30" s="7"/>
    </row>
    <row r="31" spans="1:23" ht="15" hidden="1" thickBot="1" x14ac:dyDescent="0.35">
      <c r="A31" s="6"/>
      <c r="B31" s="25">
        <v>13</v>
      </c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hidden="1" thickBot="1" x14ac:dyDescent="0.35">
      <c r="A32" s="6"/>
      <c r="B32" s="25"/>
      <c r="C32" s="26"/>
      <c r="D32" s="27"/>
      <c r="E32" s="27"/>
      <c r="F32" s="52"/>
      <c r="G32" s="52"/>
      <c r="H32" s="52"/>
      <c r="I32" s="28"/>
      <c r="J32" s="23">
        <f t="shared" si="1"/>
        <v>0</v>
      </c>
      <c r="K32" s="7"/>
    </row>
    <row r="33" spans="1:23" ht="15" hidden="1" thickBot="1" x14ac:dyDescent="0.35">
      <c r="A33" s="6"/>
      <c r="B33" s="25"/>
      <c r="C33" s="26"/>
      <c r="D33" s="27"/>
      <c r="E33" s="27"/>
      <c r="F33" s="28"/>
      <c r="G33" s="28"/>
      <c r="H33" s="27"/>
      <c r="I33" s="28"/>
      <c r="J33" s="29">
        <f t="shared" si="1"/>
        <v>0</v>
      </c>
      <c r="K33" s="7"/>
      <c r="V33" s="5">
        <f t="shared" si="2"/>
        <v>0</v>
      </c>
      <c r="W33" s="5">
        <f t="shared" si="3"/>
        <v>0</v>
      </c>
    </row>
    <row r="34" spans="1:23" ht="24" thickBot="1" x14ac:dyDescent="0.5">
      <c r="A34" s="6"/>
      <c r="B34" s="85" t="s">
        <v>22</v>
      </c>
      <c r="C34" s="86"/>
      <c r="D34" s="86"/>
      <c r="E34" s="86"/>
      <c r="F34" s="86"/>
      <c r="G34" s="86"/>
      <c r="H34" s="87"/>
      <c r="I34" s="30" t="s">
        <v>23</v>
      </c>
      <c r="J34" s="31">
        <f>SUM(J6:J33)</f>
        <v>61787.5</v>
      </c>
      <c r="K34" s="7"/>
      <c r="V34" s="5">
        <f>SUM(V6:V33)</f>
        <v>11</v>
      </c>
      <c r="W34" s="5">
        <f>SUM(W6:W33)</f>
        <v>1</v>
      </c>
    </row>
    <row r="35" spans="1:23" ht="30" customHeight="1" thickBot="1" x14ac:dyDescent="0.35">
      <c r="A35" s="32"/>
      <c r="B35" s="33"/>
      <c r="C35" s="33"/>
      <c r="D35" s="33"/>
      <c r="E35" s="33"/>
      <c r="F35" s="33"/>
      <c r="G35" s="33"/>
      <c r="H35" s="34"/>
      <c r="I35" s="33"/>
      <c r="J35" s="34"/>
      <c r="K35" s="35"/>
    </row>
  </sheetData>
  <mergeCells count="24">
    <mergeCell ref="M8:O10"/>
    <mergeCell ref="P8:R10"/>
    <mergeCell ref="B34:H34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4" r:id="rId1" xr:uid="{00000000-0004-0000-3000-000000000000}"/>
    <hyperlink ref="M1" location="MASTER!A1" display="Back" xr:uid="{00000000-0004-0000-3000-000001000000}"/>
  </hyperlinks>
  <pageMargins left="0" right="0" top="0" bottom="0" header="0" footer="0"/>
  <pageSetup paperSize="9" orientation="portrait"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W35"/>
  <sheetViews>
    <sheetView workbookViewId="0">
      <selection activeCell="N4" sqref="N4:N5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44896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COUNT(C6:C33)</f>
        <v>9</v>
      </c>
      <c r="O4" s="108">
        <v>9</v>
      </c>
      <c r="P4" s="108">
        <f>W34</f>
        <v>0</v>
      </c>
      <c r="Q4" s="110"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44897</v>
      </c>
      <c r="D6" s="16" t="s">
        <v>18</v>
      </c>
      <c r="E6" s="16" t="s">
        <v>441</v>
      </c>
      <c r="F6" s="51">
        <v>24</v>
      </c>
      <c r="G6" s="51">
        <v>41</v>
      </c>
      <c r="H6" s="51">
        <v>17</v>
      </c>
      <c r="I6" s="17">
        <v>450</v>
      </c>
      <c r="J6" s="18">
        <f>H6*I6</f>
        <v>7650</v>
      </c>
      <c r="K6" s="7"/>
      <c r="M6" s="88" t="s">
        <v>19</v>
      </c>
      <c r="N6" s="90">
        <f>SUM(N4:N5)</f>
        <v>9</v>
      </c>
      <c r="O6" s="90">
        <f>SUM(O4:O5)</f>
        <v>9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44900</v>
      </c>
      <c r="D7" s="21" t="s">
        <v>18</v>
      </c>
      <c r="E7" s="21" t="s">
        <v>442</v>
      </c>
      <c r="F7" s="37">
        <v>1.3</v>
      </c>
      <c r="G7" s="37">
        <v>2.0499999999999998</v>
      </c>
      <c r="H7" s="37">
        <f>2.05-1.3</f>
        <v>0.74999999999999978</v>
      </c>
      <c r="I7" s="22">
        <v>8925</v>
      </c>
      <c r="J7" s="23">
        <f t="shared" ref="J7:J33" si="1">H7*I7</f>
        <v>6693.7499999999982</v>
      </c>
      <c r="K7" s="7"/>
      <c r="M7" s="89"/>
      <c r="N7" s="91"/>
      <c r="O7" s="91"/>
      <c r="P7" s="91"/>
      <c r="Q7" s="93"/>
      <c r="R7" s="95"/>
      <c r="V7" s="5">
        <f t="shared" ref="V7:V33" si="2">IF($J7&gt;0,1,0)</f>
        <v>1</v>
      </c>
      <c r="W7" s="5">
        <f t="shared" ref="W7:W33" si="3">IF($J7&lt;0,1,0)</f>
        <v>0</v>
      </c>
    </row>
    <row r="8" spans="1:23" x14ac:dyDescent="0.3">
      <c r="A8" s="6"/>
      <c r="B8" s="19">
        <v>3</v>
      </c>
      <c r="C8" s="20">
        <v>44902</v>
      </c>
      <c r="D8" s="21" t="s">
        <v>18</v>
      </c>
      <c r="E8" s="21" t="s">
        <v>443</v>
      </c>
      <c r="F8" s="37">
        <v>50</v>
      </c>
      <c r="G8" s="37">
        <v>85.8</v>
      </c>
      <c r="H8" s="37">
        <f>85.8-50</f>
        <v>35.799999999999997</v>
      </c>
      <c r="I8" s="22">
        <v>300</v>
      </c>
      <c r="J8" s="23">
        <f t="shared" si="1"/>
        <v>10740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44903</v>
      </c>
      <c r="D9" s="21" t="s">
        <v>18</v>
      </c>
      <c r="E9" s="21" t="s">
        <v>444</v>
      </c>
      <c r="F9" s="37">
        <v>40</v>
      </c>
      <c r="G9" s="37">
        <v>199</v>
      </c>
      <c r="H9" s="37">
        <f>199-40</f>
        <v>159</v>
      </c>
      <c r="I9" s="22">
        <v>100</v>
      </c>
      <c r="J9" s="23">
        <f t="shared" si="1"/>
        <v>15900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44907</v>
      </c>
      <c r="D10" s="21" t="s">
        <v>18</v>
      </c>
      <c r="E10" s="21" t="s">
        <v>445</v>
      </c>
      <c r="F10" s="37">
        <v>130</v>
      </c>
      <c r="G10" s="37">
        <v>179</v>
      </c>
      <c r="H10" s="37">
        <f>179-130</f>
        <v>49</v>
      </c>
      <c r="I10" s="22">
        <v>125</v>
      </c>
      <c r="J10" s="23">
        <f t="shared" si="1"/>
        <v>6125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44908</v>
      </c>
      <c r="D11" s="21" t="s">
        <v>18</v>
      </c>
      <c r="E11" s="21" t="s">
        <v>446</v>
      </c>
      <c r="F11" s="37">
        <v>30</v>
      </c>
      <c r="G11" s="37">
        <v>49.6</v>
      </c>
      <c r="H11" s="37">
        <f>49.6-30</f>
        <v>19.600000000000001</v>
      </c>
      <c r="I11" s="22">
        <v>500</v>
      </c>
      <c r="J11" s="23">
        <f t="shared" si="1"/>
        <v>9800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44916</v>
      </c>
      <c r="D12" s="21" t="s">
        <v>18</v>
      </c>
      <c r="E12" s="21" t="s">
        <v>447</v>
      </c>
      <c r="F12" s="37">
        <v>65</v>
      </c>
      <c r="G12" s="37">
        <v>200</v>
      </c>
      <c r="H12" s="37">
        <f>200-65</f>
        <v>135</v>
      </c>
      <c r="I12" s="22">
        <v>250</v>
      </c>
      <c r="J12" s="23">
        <f t="shared" si="1"/>
        <v>33750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44917</v>
      </c>
      <c r="D13" s="21" t="s">
        <v>18</v>
      </c>
      <c r="E13" s="21" t="s">
        <v>448</v>
      </c>
      <c r="F13" s="37">
        <v>10</v>
      </c>
      <c r="G13" s="37">
        <v>32.799999999999997</v>
      </c>
      <c r="H13" s="37">
        <f>32.8-10</f>
        <v>22.799999999999997</v>
      </c>
      <c r="I13" s="22">
        <v>100</v>
      </c>
      <c r="J13" s="23">
        <f t="shared" si="1"/>
        <v>2279.9999999999995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44924</v>
      </c>
      <c r="D14" s="21" t="s">
        <v>18</v>
      </c>
      <c r="E14" s="21" t="s">
        <v>449</v>
      </c>
      <c r="F14" s="37">
        <v>16</v>
      </c>
      <c r="G14" s="37">
        <v>28</v>
      </c>
      <c r="H14" s="37">
        <f>28-16</f>
        <v>12</v>
      </c>
      <c r="I14" s="22">
        <v>100</v>
      </c>
      <c r="J14" s="23">
        <f t="shared" si="1"/>
        <v>1200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</row>
    <row r="19" spans="1:23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x14ac:dyDescent="0.3">
      <c r="A20" s="6"/>
      <c r="B20" s="19">
        <v>14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x14ac:dyDescent="0.3">
      <c r="A21" s="6"/>
      <c r="B21" s="19">
        <v>15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V21" s="5">
        <f t="shared" si="2"/>
        <v>0</v>
      </c>
      <c r="W21" s="5">
        <f t="shared" si="3"/>
        <v>0</v>
      </c>
    </row>
    <row r="22" spans="1:23" x14ac:dyDescent="0.3">
      <c r="A22" s="6"/>
      <c r="B22" s="19">
        <v>16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O22" s="24"/>
      <c r="P22" s="24"/>
      <c r="Q22" s="24"/>
      <c r="R22" s="24"/>
      <c r="V22" s="5">
        <f t="shared" si="2"/>
        <v>0</v>
      </c>
      <c r="W22" s="5">
        <f t="shared" si="3"/>
        <v>0</v>
      </c>
    </row>
    <row r="23" spans="1:23" x14ac:dyDescent="0.3">
      <c r="A23" s="6"/>
      <c r="B23" s="19">
        <v>17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t="15" thickBot="1" x14ac:dyDescent="0.35">
      <c r="A24" s="6"/>
      <c r="B24" s="19">
        <v>18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t="15" hidden="1" thickBot="1" x14ac:dyDescent="0.35">
      <c r="A25" s="6"/>
      <c r="B25" s="19">
        <v>19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t="15" hidden="1" thickBot="1" x14ac:dyDescent="0.35">
      <c r="A26" s="6"/>
      <c r="B26" s="19">
        <v>20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t="15" hidden="1" thickBot="1" x14ac:dyDescent="0.35">
      <c r="A27" s="6"/>
      <c r="B27" s="19">
        <v>21</v>
      </c>
      <c r="C27" s="20"/>
      <c r="D27" s="21"/>
      <c r="E27" s="21"/>
      <c r="F27" s="37"/>
      <c r="G27" s="37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t="15" hidden="1" thickBot="1" x14ac:dyDescent="0.35">
      <c r="A28" s="6"/>
      <c r="B28" s="19">
        <v>22</v>
      </c>
      <c r="C28" s="20"/>
      <c r="D28" s="21"/>
      <c r="E28" s="21"/>
      <c r="F28" s="22"/>
      <c r="G28" s="22"/>
      <c r="H28" s="21"/>
      <c r="I28" s="22"/>
      <c r="J28" s="23">
        <f t="shared" si="1"/>
        <v>0</v>
      </c>
      <c r="K28" s="7"/>
      <c r="V28" s="5">
        <f t="shared" si="2"/>
        <v>0</v>
      </c>
      <c r="W28" s="5">
        <f t="shared" si="3"/>
        <v>0</v>
      </c>
    </row>
    <row r="29" spans="1:23" ht="15" hidden="1" thickBot="1" x14ac:dyDescent="0.35">
      <c r="A29" s="6"/>
      <c r="B29" s="25">
        <v>11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ht="15" hidden="1" thickBot="1" x14ac:dyDescent="0.35">
      <c r="A30" s="6"/>
      <c r="B30" s="25">
        <v>12</v>
      </c>
      <c r="C30" s="26"/>
      <c r="D30" s="27"/>
      <c r="E30" s="27"/>
      <c r="F30" s="28"/>
      <c r="G30" s="52"/>
      <c r="H30" s="52"/>
      <c r="I30" s="28"/>
      <c r="J30" s="23">
        <f t="shared" si="1"/>
        <v>0</v>
      </c>
      <c r="K30" s="7"/>
    </row>
    <row r="31" spans="1:23" ht="15" hidden="1" thickBot="1" x14ac:dyDescent="0.35">
      <c r="A31" s="6"/>
      <c r="B31" s="25">
        <v>13</v>
      </c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hidden="1" thickBot="1" x14ac:dyDescent="0.35">
      <c r="A32" s="6"/>
      <c r="B32" s="25"/>
      <c r="C32" s="26"/>
      <c r="D32" s="27"/>
      <c r="E32" s="27"/>
      <c r="F32" s="52"/>
      <c r="G32" s="52"/>
      <c r="H32" s="52"/>
      <c r="I32" s="28"/>
      <c r="J32" s="23">
        <f t="shared" si="1"/>
        <v>0</v>
      </c>
      <c r="K32" s="7"/>
    </row>
    <row r="33" spans="1:23" ht="15" hidden="1" thickBot="1" x14ac:dyDescent="0.35">
      <c r="A33" s="6"/>
      <c r="B33" s="25"/>
      <c r="C33" s="26"/>
      <c r="D33" s="27"/>
      <c r="E33" s="27"/>
      <c r="F33" s="28"/>
      <c r="G33" s="28"/>
      <c r="H33" s="27"/>
      <c r="I33" s="28"/>
      <c r="J33" s="29">
        <f t="shared" si="1"/>
        <v>0</v>
      </c>
      <c r="K33" s="7"/>
      <c r="V33" s="5">
        <f t="shared" si="2"/>
        <v>0</v>
      </c>
      <c r="W33" s="5">
        <f t="shared" si="3"/>
        <v>0</v>
      </c>
    </row>
    <row r="34" spans="1:23" ht="24" thickBot="1" x14ac:dyDescent="0.5">
      <c r="A34" s="6"/>
      <c r="B34" s="85" t="s">
        <v>22</v>
      </c>
      <c r="C34" s="86"/>
      <c r="D34" s="86"/>
      <c r="E34" s="86"/>
      <c r="F34" s="86"/>
      <c r="G34" s="86"/>
      <c r="H34" s="87"/>
      <c r="I34" s="30" t="s">
        <v>23</v>
      </c>
      <c r="J34" s="31">
        <f>SUM(J6:J33)</f>
        <v>94138.75</v>
      </c>
      <c r="K34" s="7"/>
      <c r="V34" s="5">
        <f>SUM(V6:V33)</f>
        <v>9</v>
      </c>
      <c r="W34" s="5">
        <f>SUM(W6:W33)</f>
        <v>0</v>
      </c>
    </row>
    <row r="35" spans="1:23" ht="30" customHeight="1" thickBot="1" x14ac:dyDescent="0.35">
      <c r="A35" s="32"/>
      <c r="B35" s="33"/>
      <c r="C35" s="33"/>
      <c r="D35" s="33"/>
      <c r="E35" s="33"/>
      <c r="F35" s="33"/>
      <c r="G35" s="33"/>
      <c r="H35" s="34"/>
      <c r="I35" s="33"/>
      <c r="J35" s="34"/>
      <c r="K35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4:H34"/>
    <mergeCell ref="M6:M7"/>
    <mergeCell ref="N6:N7"/>
    <mergeCell ref="O6:O7"/>
    <mergeCell ref="P6:P7"/>
    <mergeCell ref="Q6:Q7"/>
    <mergeCell ref="R6:R7"/>
  </mergeCells>
  <hyperlinks>
    <hyperlink ref="B34" r:id="rId1" xr:uid="{00000000-0004-0000-3100-000000000000}"/>
    <hyperlink ref="M1" location="MASTER!A1" display="Back" xr:uid="{00000000-0004-0000-3100-000001000000}"/>
  </hyperlinks>
  <pageMargins left="0" right="0" top="0" bottom="0" header="0" footer="0"/>
  <pageSetup paperSize="9" orientation="portrait"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W35"/>
  <sheetViews>
    <sheetView topLeftCell="A6" workbookViewId="0">
      <selection activeCell="A18" sqref="A18:XFD24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44927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COUNT(C6:C33)</f>
        <v>12</v>
      </c>
      <c r="O4" s="108">
        <v>10</v>
      </c>
      <c r="P4" s="108">
        <f>W34</f>
        <v>2</v>
      </c>
      <c r="Q4" s="110">
        <v>0</v>
      </c>
      <c r="R4" s="94">
        <f>O4/N4</f>
        <v>0.83333333333333337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44930</v>
      </c>
      <c r="D6" s="16" t="s">
        <v>18</v>
      </c>
      <c r="E6" s="16" t="s">
        <v>450</v>
      </c>
      <c r="F6" s="51">
        <v>9</v>
      </c>
      <c r="G6" s="51">
        <v>11.6</v>
      </c>
      <c r="H6" s="51">
        <v>2.6</v>
      </c>
      <c r="I6" s="17">
        <v>1650</v>
      </c>
      <c r="J6" s="18">
        <f>H6*I6</f>
        <v>4290</v>
      </c>
      <c r="K6" s="7"/>
      <c r="M6" s="88" t="s">
        <v>19</v>
      </c>
      <c r="N6" s="90">
        <f>SUM(N4:N5)</f>
        <v>12</v>
      </c>
      <c r="O6" s="90">
        <f>SUM(O4:O5)</f>
        <v>10</v>
      </c>
      <c r="P6" s="90">
        <f>SUM(P4:P5)</f>
        <v>2</v>
      </c>
      <c r="Q6" s="92">
        <f>SUM(Q4:Q5)</f>
        <v>0</v>
      </c>
      <c r="R6" s="94">
        <f t="shared" ref="R6" si="0">O6/N6</f>
        <v>0.83333333333333337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44931</v>
      </c>
      <c r="D7" s="21" t="s">
        <v>18</v>
      </c>
      <c r="E7" s="21" t="s">
        <v>451</v>
      </c>
      <c r="F7" s="37">
        <v>25</v>
      </c>
      <c r="G7" s="37">
        <v>33</v>
      </c>
      <c r="H7" s="37">
        <f>33-25</f>
        <v>8</v>
      </c>
      <c r="I7" s="22">
        <v>100</v>
      </c>
      <c r="J7" s="23">
        <f t="shared" ref="J7:J33" si="1">H7*I7</f>
        <v>800</v>
      </c>
      <c r="K7" s="7"/>
      <c r="M7" s="89"/>
      <c r="N7" s="91"/>
      <c r="O7" s="91"/>
      <c r="P7" s="91"/>
      <c r="Q7" s="93"/>
      <c r="R7" s="95"/>
      <c r="V7" s="5">
        <f t="shared" ref="V7:V33" si="2">IF($J7&gt;0,1,0)</f>
        <v>1</v>
      </c>
      <c r="W7" s="5">
        <f t="shared" ref="W7:W33" si="3">IF($J7&lt;0,1,0)</f>
        <v>0</v>
      </c>
    </row>
    <row r="8" spans="1:23" x14ac:dyDescent="0.3">
      <c r="A8" s="6"/>
      <c r="B8" s="19">
        <v>3</v>
      </c>
      <c r="C8" s="20">
        <v>44936</v>
      </c>
      <c r="D8" s="21" t="s">
        <v>18</v>
      </c>
      <c r="E8" s="21" t="s">
        <v>452</v>
      </c>
      <c r="F8" s="37">
        <v>80</v>
      </c>
      <c r="G8" s="37">
        <v>213</v>
      </c>
      <c r="H8" s="37">
        <f>213-80</f>
        <v>133</v>
      </c>
      <c r="I8" s="22">
        <v>250</v>
      </c>
      <c r="J8" s="23">
        <f t="shared" si="1"/>
        <v>33250</v>
      </c>
      <c r="K8" s="7"/>
      <c r="M8" s="67" t="s">
        <v>20</v>
      </c>
      <c r="N8" s="68"/>
      <c r="O8" s="69"/>
      <c r="P8" s="76">
        <f>R6</f>
        <v>0.83333333333333337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44938</v>
      </c>
      <c r="D9" s="21" t="s">
        <v>18</v>
      </c>
      <c r="E9" s="21" t="s">
        <v>453</v>
      </c>
      <c r="F9" s="37">
        <v>25</v>
      </c>
      <c r="G9" s="37">
        <v>74</v>
      </c>
      <c r="H9" s="37">
        <f>74-25</f>
        <v>49</v>
      </c>
      <c r="I9" s="22">
        <v>50</v>
      </c>
      <c r="J9" s="23">
        <f t="shared" si="1"/>
        <v>2450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44942</v>
      </c>
      <c r="D10" s="21" t="s">
        <v>18</v>
      </c>
      <c r="E10" s="21" t="s">
        <v>454</v>
      </c>
      <c r="F10" s="37">
        <v>32</v>
      </c>
      <c r="G10" s="37">
        <v>52</v>
      </c>
      <c r="H10" s="37">
        <v>20</v>
      </c>
      <c r="I10" s="22">
        <v>400</v>
      </c>
      <c r="J10" s="23">
        <f t="shared" si="1"/>
        <v>8000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44944</v>
      </c>
      <c r="D11" s="21" t="s">
        <v>18</v>
      </c>
      <c r="E11" s="21" t="s">
        <v>455</v>
      </c>
      <c r="F11" s="37">
        <v>15</v>
      </c>
      <c r="G11" s="37">
        <v>25</v>
      </c>
      <c r="H11" s="37">
        <v>10</v>
      </c>
      <c r="I11" s="22">
        <v>100</v>
      </c>
      <c r="J11" s="23">
        <f t="shared" si="1"/>
        <v>1000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44944</v>
      </c>
      <c r="D12" s="21" t="s">
        <v>18</v>
      </c>
      <c r="E12" s="21" t="s">
        <v>456</v>
      </c>
      <c r="F12" s="37">
        <v>60</v>
      </c>
      <c r="G12" s="37">
        <v>40</v>
      </c>
      <c r="H12" s="37">
        <v>-20</v>
      </c>
      <c r="I12" s="22">
        <v>250</v>
      </c>
      <c r="J12" s="23">
        <f t="shared" si="1"/>
        <v>-5000</v>
      </c>
      <c r="K12" s="7"/>
      <c r="V12" s="5">
        <f t="shared" si="2"/>
        <v>0</v>
      </c>
      <c r="W12" s="5">
        <f t="shared" si="3"/>
        <v>1</v>
      </c>
    </row>
    <row r="13" spans="1:23" x14ac:dyDescent="0.3">
      <c r="A13" s="6"/>
      <c r="B13" s="19">
        <v>8</v>
      </c>
      <c r="C13" s="20">
        <v>44945</v>
      </c>
      <c r="D13" s="21" t="s">
        <v>18</v>
      </c>
      <c r="E13" s="21" t="s">
        <v>457</v>
      </c>
      <c r="F13" s="37">
        <v>35</v>
      </c>
      <c r="G13" s="37">
        <v>50</v>
      </c>
      <c r="H13" s="37">
        <v>15</v>
      </c>
      <c r="I13" s="22">
        <v>100</v>
      </c>
      <c r="J13" s="23">
        <f t="shared" si="1"/>
        <v>1500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44945</v>
      </c>
      <c r="D14" s="21" t="s">
        <v>18</v>
      </c>
      <c r="E14" s="21" t="s">
        <v>458</v>
      </c>
      <c r="F14" s="37">
        <v>35</v>
      </c>
      <c r="G14" s="37">
        <v>65</v>
      </c>
      <c r="H14" s="37">
        <v>30</v>
      </c>
      <c r="I14" s="22">
        <v>50</v>
      </c>
      <c r="J14" s="23">
        <f t="shared" si="1"/>
        <v>1500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44946</v>
      </c>
      <c r="D15" s="21" t="s">
        <v>18</v>
      </c>
      <c r="E15" s="21" t="s">
        <v>459</v>
      </c>
      <c r="F15" s="37">
        <v>25</v>
      </c>
      <c r="G15" s="37">
        <v>86</v>
      </c>
      <c r="H15" s="37">
        <f>86-25</f>
        <v>61</v>
      </c>
      <c r="I15" s="22">
        <v>250</v>
      </c>
      <c r="J15" s="23">
        <f t="shared" si="1"/>
        <v>15250</v>
      </c>
      <c r="K15" s="7"/>
      <c r="V15" s="5">
        <f>IF($J15&gt;0,1,0)</f>
        <v>1</v>
      </c>
      <c r="W15" s="5">
        <f>IF($J15&lt;0,1,0)</f>
        <v>0</v>
      </c>
    </row>
    <row r="16" spans="1:23" x14ac:dyDescent="0.3">
      <c r="A16" s="6"/>
      <c r="B16" s="19">
        <v>11</v>
      </c>
      <c r="C16" s="20">
        <v>44951</v>
      </c>
      <c r="D16" s="21" t="s">
        <v>18</v>
      </c>
      <c r="E16" s="21" t="s">
        <v>460</v>
      </c>
      <c r="F16" s="37">
        <v>30</v>
      </c>
      <c r="G16" s="37">
        <v>10</v>
      </c>
      <c r="H16" s="37">
        <v>-20</v>
      </c>
      <c r="I16" s="22">
        <v>50</v>
      </c>
      <c r="J16" s="23">
        <f t="shared" si="1"/>
        <v>-1000</v>
      </c>
      <c r="K16" s="7"/>
      <c r="V16" s="5">
        <f>IF($J16&gt;0,1,0)</f>
        <v>0</v>
      </c>
      <c r="W16" s="5">
        <f>IF($J16&lt;0,1,0)</f>
        <v>1</v>
      </c>
    </row>
    <row r="17" spans="1:23" x14ac:dyDescent="0.3">
      <c r="A17" s="6"/>
      <c r="B17" s="19">
        <v>12</v>
      </c>
      <c r="C17" s="20">
        <v>44951</v>
      </c>
      <c r="D17" s="21" t="s">
        <v>18</v>
      </c>
      <c r="E17" s="21" t="s">
        <v>461</v>
      </c>
      <c r="F17" s="37">
        <v>30</v>
      </c>
      <c r="G17" s="37">
        <v>90</v>
      </c>
      <c r="H17" s="37">
        <v>60</v>
      </c>
      <c r="I17" s="22">
        <v>50</v>
      </c>
      <c r="J17" s="23">
        <f t="shared" si="1"/>
        <v>3000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</row>
    <row r="19" spans="1:23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x14ac:dyDescent="0.3">
      <c r="A20" s="6"/>
      <c r="B20" s="19">
        <v>14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x14ac:dyDescent="0.3">
      <c r="A21" s="6"/>
      <c r="B21" s="19">
        <v>15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V21" s="5">
        <f t="shared" si="2"/>
        <v>0</v>
      </c>
      <c r="W21" s="5">
        <f t="shared" si="3"/>
        <v>0</v>
      </c>
    </row>
    <row r="22" spans="1:23" x14ac:dyDescent="0.3">
      <c r="A22" s="6"/>
      <c r="B22" s="19">
        <v>16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O22" s="24"/>
      <c r="P22" s="24"/>
      <c r="Q22" s="24"/>
      <c r="R22" s="24"/>
      <c r="V22" s="5">
        <f t="shared" si="2"/>
        <v>0</v>
      </c>
      <c r="W22" s="5">
        <f t="shared" si="3"/>
        <v>0</v>
      </c>
    </row>
    <row r="23" spans="1:23" x14ac:dyDescent="0.3">
      <c r="A23" s="6"/>
      <c r="B23" s="19">
        <v>17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t="15" thickBot="1" x14ac:dyDescent="0.35">
      <c r="A24" s="6"/>
      <c r="B24" s="19">
        <v>18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t="15" hidden="1" thickBot="1" x14ac:dyDescent="0.35">
      <c r="A25" s="6"/>
      <c r="B25" s="19">
        <v>19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t="15" hidden="1" thickBot="1" x14ac:dyDescent="0.35">
      <c r="A26" s="6"/>
      <c r="B26" s="19">
        <v>20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t="15" hidden="1" thickBot="1" x14ac:dyDescent="0.35">
      <c r="A27" s="6"/>
      <c r="B27" s="19">
        <v>21</v>
      </c>
      <c r="C27" s="20"/>
      <c r="D27" s="21"/>
      <c r="E27" s="21"/>
      <c r="F27" s="37"/>
      <c r="G27" s="37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t="15" hidden="1" thickBot="1" x14ac:dyDescent="0.35">
      <c r="A28" s="6"/>
      <c r="B28" s="19">
        <v>22</v>
      </c>
      <c r="C28" s="20"/>
      <c r="D28" s="21"/>
      <c r="E28" s="21"/>
      <c r="F28" s="22"/>
      <c r="G28" s="22"/>
      <c r="H28" s="21"/>
      <c r="I28" s="22"/>
      <c r="J28" s="23">
        <f t="shared" si="1"/>
        <v>0</v>
      </c>
      <c r="K28" s="7"/>
      <c r="V28" s="5">
        <f t="shared" si="2"/>
        <v>0</v>
      </c>
      <c r="W28" s="5">
        <f t="shared" si="3"/>
        <v>0</v>
      </c>
    </row>
    <row r="29" spans="1:23" ht="15" hidden="1" thickBot="1" x14ac:dyDescent="0.35">
      <c r="A29" s="6"/>
      <c r="B29" s="25">
        <v>11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ht="15" hidden="1" thickBot="1" x14ac:dyDescent="0.35">
      <c r="A30" s="6"/>
      <c r="B30" s="25">
        <v>12</v>
      </c>
      <c r="C30" s="26"/>
      <c r="D30" s="27"/>
      <c r="E30" s="27"/>
      <c r="F30" s="28"/>
      <c r="G30" s="52"/>
      <c r="H30" s="52"/>
      <c r="I30" s="28"/>
      <c r="J30" s="23">
        <f t="shared" si="1"/>
        <v>0</v>
      </c>
      <c r="K30" s="7"/>
    </row>
    <row r="31" spans="1:23" ht="15" hidden="1" thickBot="1" x14ac:dyDescent="0.35">
      <c r="A31" s="6"/>
      <c r="B31" s="25">
        <v>13</v>
      </c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hidden="1" thickBot="1" x14ac:dyDescent="0.35">
      <c r="A32" s="6"/>
      <c r="B32" s="25"/>
      <c r="C32" s="26"/>
      <c r="D32" s="27"/>
      <c r="E32" s="27"/>
      <c r="F32" s="52"/>
      <c r="G32" s="52"/>
      <c r="H32" s="52"/>
      <c r="I32" s="28"/>
      <c r="J32" s="23">
        <f t="shared" si="1"/>
        <v>0</v>
      </c>
      <c r="K32" s="7"/>
    </row>
    <row r="33" spans="1:23" ht="15" hidden="1" thickBot="1" x14ac:dyDescent="0.35">
      <c r="A33" s="6"/>
      <c r="B33" s="25"/>
      <c r="C33" s="26"/>
      <c r="D33" s="27"/>
      <c r="E33" s="27"/>
      <c r="F33" s="28"/>
      <c r="G33" s="28"/>
      <c r="H33" s="27"/>
      <c r="I33" s="28"/>
      <c r="J33" s="29">
        <f t="shared" si="1"/>
        <v>0</v>
      </c>
      <c r="K33" s="7"/>
      <c r="V33" s="5">
        <f t="shared" si="2"/>
        <v>0</v>
      </c>
      <c r="W33" s="5">
        <f t="shared" si="3"/>
        <v>0</v>
      </c>
    </row>
    <row r="34" spans="1:23" ht="24" thickBot="1" x14ac:dyDescent="0.5">
      <c r="A34" s="6"/>
      <c r="B34" s="85" t="s">
        <v>22</v>
      </c>
      <c r="C34" s="86"/>
      <c r="D34" s="86"/>
      <c r="E34" s="86"/>
      <c r="F34" s="86"/>
      <c r="G34" s="86"/>
      <c r="H34" s="87"/>
      <c r="I34" s="30" t="s">
        <v>23</v>
      </c>
      <c r="J34" s="31">
        <f>SUM(J6:J33)</f>
        <v>65040</v>
      </c>
      <c r="K34" s="7"/>
      <c r="V34" s="5">
        <f>SUM(V6:V33)</f>
        <v>10</v>
      </c>
      <c r="W34" s="5">
        <f>SUM(W6:W33)</f>
        <v>2</v>
      </c>
    </row>
    <row r="35" spans="1:23" ht="30" customHeight="1" thickBot="1" x14ac:dyDescent="0.35">
      <c r="A35" s="32"/>
      <c r="B35" s="33"/>
      <c r="C35" s="33"/>
      <c r="D35" s="33"/>
      <c r="E35" s="33"/>
      <c r="F35" s="33"/>
      <c r="G35" s="33"/>
      <c r="H35" s="34"/>
      <c r="I35" s="33"/>
      <c r="J35" s="34"/>
      <c r="K35" s="35"/>
    </row>
  </sheetData>
  <mergeCells count="24">
    <mergeCell ref="M8:O10"/>
    <mergeCell ref="P8:R10"/>
    <mergeCell ref="B34:H34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4" r:id="rId1" xr:uid="{00000000-0004-0000-3200-000000000000}"/>
    <hyperlink ref="M1" location="MASTER!A1" display="Back" xr:uid="{00000000-0004-0000-3200-000001000000}"/>
  </hyperlinks>
  <pageMargins left="0" right="0" top="0" bottom="0" header="0" footer="0"/>
  <pageSetup paperSize="9" orientation="portrait"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W35"/>
  <sheetViews>
    <sheetView topLeftCell="A6" workbookViewId="0">
      <selection activeCell="A17" sqref="A17:XFD24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7.8867187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44958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COUNT(C6:C33)</f>
        <v>11</v>
      </c>
      <c r="O4" s="108">
        <v>10</v>
      </c>
      <c r="P4" s="108">
        <f>W34</f>
        <v>2</v>
      </c>
      <c r="Q4" s="110">
        <v>0</v>
      </c>
      <c r="R4" s="94">
        <f>O4/N4</f>
        <v>0.90909090909090906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44959</v>
      </c>
      <c r="D6" s="16" t="s">
        <v>18</v>
      </c>
      <c r="E6" s="16" t="s">
        <v>474</v>
      </c>
      <c r="F6" s="51">
        <v>15</v>
      </c>
      <c r="G6" s="51">
        <v>44</v>
      </c>
      <c r="H6" s="51">
        <f>44-15</f>
        <v>29</v>
      </c>
      <c r="I6" s="17">
        <v>100</v>
      </c>
      <c r="J6" s="18">
        <f>H6*I6</f>
        <v>2900</v>
      </c>
      <c r="K6" s="7"/>
      <c r="M6" s="88" t="s">
        <v>19</v>
      </c>
      <c r="N6" s="90">
        <f>SUM(N4:N5)</f>
        <v>11</v>
      </c>
      <c r="O6" s="90">
        <f>SUM(O4:O5)</f>
        <v>10</v>
      </c>
      <c r="P6" s="90">
        <f>SUM(P4:P5)</f>
        <v>2</v>
      </c>
      <c r="Q6" s="92">
        <f>SUM(Q4:Q5)</f>
        <v>0</v>
      </c>
      <c r="R6" s="94">
        <f t="shared" ref="R6" si="0">O6/N6</f>
        <v>0.90909090909090906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44963</v>
      </c>
      <c r="D7" s="21" t="s">
        <v>18</v>
      </c>
      <c r="E7" s="21" t="s">
        <v>475</v>
      </c>
      <c r="F7" s="37">
        <v>15</v>
      </c>
      <c r="G7" s="37">
        <v>20.65</v>
      </c>
      <c r="H7" s="37">
        <v>5.65</v>
      </c>
      <c r="I7" s="22">
        <v>1200</v>
      </c>
      <c r="J7" s="23">
        <f t="shared" ref="J7:J33" si="1">H7*I7</f>
        <v>6780</v>
      </c>
      <c r="K7" s="7"/>
      <c r="M7" s="89"/>
      <c r="N7" s="91"/>
      <c r="O7" s="91"/>
      <c r="P7" s="91"/>
      <c r="Q7" s="93"/>
      <c r="R7" s="95"/>
      <c r="V7" s="5">
        <f t="shared" ref="V7:V33" si="2">IF($J7&gt;0,1,0)</f>
        <v>1</v>
      </c>
      <c r="W7" s="5">
        <f t="shared" ref="W7:W33" si="3">IF($J7&lt;0,1,0)</f>
        <v>0</v>
      </c>
    </row>
    <row r="8" spans="1:23" x14ac:dyDescent="0.3">
      <c r="A8" s="6"/>
      <c r="B8" s="19">
        <v>3</v>
      </c>
      <c r="C8" s="20">
        <v>44964</v>
      </c>
      <c r="D8" s="21" t="s">
        <v>18</v>
      </c>
      <c r="E8" s="21" t="s">
        <v>476</v>
      </c>
      <c r="F8" s="37">
        <v>115</v>
      </c>
      <c r="G8" s="37">
        <v>290</v>
      </c>
      <c r="H8" s="37">
        <f>290-115</f>
        <v>175</v>
      </c>
      <c r="I8" s="22">
        <v>125</v>
      </c>
      <c r="J8" s="23">
        <f t="shared" si="1"/>
        <v>21875</v>
      </c>
      <c r="K8" s="7"/>
      <c r="M8" s="67" t="s">
        <v>20</v>
      </c>
      <c r="N8" s="68"/>
      <c r="O8" s="69"/>
      <c r="P8" s="76">
        <f>R6</f>
        <v>0.90909090909090906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44966</v>
      </c>
      <c r="D9" s="21" t="s">
        <v>18</v>
      </c>
      <c r="E9" s="21" t="s">
        <v>477</v>
      </c>
      <c r="F9" s="37">
        <v>20</v>
      </c>
      <c r="G9" s="37">
        <v>42</v>
      </c>
      <c r="H9" s="37">
        <f>42-20</f>
        <v>22</v>
      </c>
      <c r="I9" s="22">
        <v>50</v>
      </c>
      <c r="J9" s="23">
        <f t="shared" si="1"/>
        <v>1100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44966</v>
      </c>
      <c r="D10" s="21" t="s">
        <v>18</v>
      </c>
      <c r="E10" s="21" t="s">
        <v>478</v>
      </c>
      <c r="F10" s="37">
        <v>60</v>
      </c>
      <c r="G10" s="37">
        <v>70</v>
      </c>
      <c r="H10" s="37">
        <v>10</v>
      </c>
      <c r="I10" s="22">
        <v>50</v>
      </c>
      <c r="J10" s="23">
        <f t="shared" si="1"/>
        <v>500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44967</v>
      </c>
      <c r="D11" s="21" t="s">
        <v>18</v>
      </c>
      <c r="E11" s="21" t="s">
        <v>479</v>
      </c>
      <c r="F11" s="37">
        <v>140</v>
      </c>
      <c r="G11" s="37">
        <v>103</v>
      </c>
      <c r="H11" s="37">
        <v>-37</v>
      </c>
      <c r="I11" s="22">
        <v>250</v>
      </c>
      <c r="J11" s="23">
        <f t="shared" si="1"/>
        <v>-9250</v>
      </c>
      <c r="K11" s="7"/>
      <c r="V11" s="5">
        <f t="shared" si="2"/>
        <v>0</v>
      </c>
      <c r="W11" s="5">
        <f t="shared" si="3"/>
        <v>1</v>
      </c>
    </row>
    <row r="12" spans="1:23" x14ac:dyDescent="0.3">
      <c r="A12" s="6"/>
      <c r="B12" s="19">
        <v>7</v>
      </c>
      <c r="C12" s="20">
        <v>44970</v>
      </c>
      <c r="D12" s="21" t="s">
        <v>18</v>
      </c>
      <c r="E12" s="21" t="s">
        <v>480</v>
      </c>
      <c r="F12" s="37">
        <v>55</v>
      </c>
      <c r="G12" s="37">
        <v>170</v>
      </c>
      <c r="H12" s="37">
        <f>170-55</f>
        <v>115</v>
      </c>
      <c r="I12" s="22">
        <v>300</v>
      </c>
      <c r="J12" s="23">
        <f t="shared" si="1"/>
        <v>34500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44973</v>
      </c>
      <c r="D13" s="21" t="s">
        <v>18</v>
      </c>
      <c r="E13" s="21" t="s">
        <v>461</v>
      </c>
      <c r="F13" s="37">
        <v>30</v>
      </c>
      <c r="G13" s="37">
        <v>1</v>
      </c>
      <c r="H13" s="37">
        <v>-29</v>
      </c>
      <c r="I13" s="22">
        <v>50</v>
      </c>
      <c r="J13" s="23">
        <f t="shared" si="1"/>
        <v>-1450</v>
      </c>
      <c r="K13" s="7"/>
      <c r="V13" s="5">
        <f t="shared" si="2"/>
        <v>0</v>
      </c>
      <c r="W13" s="5">
        <f t="shared" si="3"/>
        <v>1</v>
      </c>
    </row>
    <row r="14" spans="1:23" x14ac:dyDescent="0.3">
      <c r="A14" s="6"/>
      <c r="B14" s="19">
        <v>9</v>
      </c>
      <c r="C14" s="20">
        <v>44973</v>
      </c>
      <c r="D14" s="21" t="s">
        <v>18</v>
      </c>
      <c r="E14" s="21" t="s">
        <v>448</v>
      </c>
      <c r="F14" s="37">
        <v>10</v>
      </c>
      <c r="G14" s="37">
        <v>16</v>
      </c>
      <c r="H14" s="37">
        <v>6</v>
      </c>
      <c r="I14" s="22">
        <v>100</v>
      </c>
      <c r="J14" s="23">
        <f t="shared" si="1"/>
        <v>600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44977</v>
      </c>
      <c r="D15" s="21" t="s">
        <v>18</v>
      </c>
      <c r="E15" s="21" t="s">
        <v>481</v>
      </c>
      <c r="F15" s="37">
        <v>20</v>
      </c>
      <c r="G15" s="37">
        <v>55</v>
      </c>
      <c r="H15" s="37">
        <f>55-20</f>
        <v>35</v>
      </c>
      <c r="I15" s="22">
        <v>250</v>
      </c>
      <c r="J15" s="23">
        <f t="shared" si="1"/>
        <v>8750</v>
      </c>
      <c r="K15" s="7"/>
      <c r="V15" s="5">
        <f>IF($J15&gt;0,1,0)</f>
        <v>1</v>
      </c>
      <c r="W15" s="5">
        <f>IF($J15&lt;0,1,0)</f>
        <v>0</v>
      </c>
    </row>
    <row r="16" spans="1:23" x14ac:dyDescent="0.3">
      <c r="A16" s="6"/>
      <c r="B16" s="19">
        <v>11</v>
      </c>
      <c r="C16" s="20">
        <v>44984</v>
      </c>
      <c r="D16" s="21" t="s">
        <v>18</v>
      </c>
      <c r="E16" s="21" t="s">
        <v>482</v>
      </c>
      <c r="F16" s="37">
        <v>100</v>
      </c>
      <c r="G16" s="37">
        <v>225</v>
      </c>
      <c r="H16" s="37">
        <f>225-100</f>
        <v>125</v>
      </c>
      <c r="I16" s="22">
        <v>125</v>
      </c>
      <c r="J16" s="23">
        <f t="shared" si="1"/>
        <v>15625</v>
      </c>
      <c r="K16" s="7"/>
      <c r="V16" s="5">
        <f>IF($J16&gt;0,1,0)</f>
        <v>1</v>
      </c>
      <c r="W16" s="5">
        <f>IF($J16&lt;0,1,0)</f>
        <v>0</v>
      </c>
    </row>
    <row r="17" spans="1:23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</row>
    <row r="19" spans="1:23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x14ac:dyDescent="0.3">
      <c r="A20" s="6"/>
      <c r="B20" s="19">
        <v>14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x14ac:dyDescent="0.3">
      <c r="A21" s="6"/>
      <c r="B21" s="19">
        <v>15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V21" s="5">
        <f t="shared" si="2"/>
        <v>0</v>
      </c>
      <c r="W21" s="5">
        <f t="shared" si="3"/>
        <v>0</v>
      </c>
    </row>
    <row r="22" spans="1:23" x14ac:dyDescent="0.3">
      <c r="A22" s="6"/>
      <c r="B22" s="19">
        <v>16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O22" s="24"/>
      <c r="P22" s="24"/>
      <c r="Q22" s="24"/>
      <c r="R22" s="24"/>
      <c r="V22" s="5">
        <f t="shared" si="2"/>
        <v>0</v>
      </c>
      <c r="W22" s="5">
        <f t="shared" si="3"/>
        <v>0</v>
      </c>
    </row>
    <row r="23" spans="1:23" x14ac:dyDescent="0.3">
      <c r="A23" s="6"/>
      <c r="B23" s="19">
        <v>17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t="15" thickBot="1" x14ac:dyDescent="0.35">
      <c r="A24" s="6"/>
      <c r="B24" s="19">
        <v>18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t="15" hidden="1" thickBot="1" x14ac:dyDescent="0.35">
      <c r="A25" s="6"/>
      <c r="B25" s="19">
        <v>19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t="15" hidden="1" thickBot="1" x14ac:dyDescent="0.35">
      <c r="A26" s="6"/>
      <c r="B26" s="19">
        <v>20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t="15" hidden="1" thickBot="1" x14ac:dyDescent="0.35">
      <c r="A27" s="6"/>
      <c r="B27" s="19">
        <v>21</v>
      </c>
      <c r="C27" s="20"/>
      <c r="D27" s="21"/>
      <c r="E27" s="21"/>
      <c r="F27" s="37"/>
      <c r="G27" s="37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t="15" hidden="1" thickBot="1" x14ac:dyDescent="0.35">
      <c r="A28" s="6"/>
      <c r="B28" s="19">
        <v>22</v>
      </c>
      <c r="C28" s="20"/>
      <c r="D28" s="21"/>
      <c r="E28" s="21"/>
      <c r="F28" s="22"/>
      <c r="G28" s="22"/>
      <c r="H28" s="21"/>
      <c r="I28" s="22"/>
      <c r="J28" s="23">
        <f t="shared" si="1"/>
        <v>0</v>
      </c>
      <c r="K28" s="7"/>
      <c r="V28" s="5">
        <f t="shared" si="2"/>
        <v>0</v>
      </c>
      <c r="W28" s="5">
        <f t="shared" si="3"/>
        <v>0</v>
      </c>
    </row>
    <row r="29" spans="1:23" ht="15" hidden="1" thickBot="1" x14ac:dyDescent="0.35">
      <c r="A29" s="6"/>
      <c r="B29" s="25">
        <v>11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ht="15" hidden="1" thickBot="1" x14ac:dyDescent="0.35">
      <c r="A30" s="6"/>
      <c r="B30" s="25">
        <v>12</v>
      </c>
      <c r="C30" s="26"/>
      <c r="D30" s="27"/>
      <c r="E30" s="27"/>
      <c r="F30" s="28"/>
      <c r="G30" s="52"/>
      <c r="H30" s="52"/>
      <c r="I30" s="28"/>
      <c r="J30" s="23">
        <f t="shared" si="1"/>
        <v>0</v>
      </c>
      <c r="K30" s="7"/>
    </row>
    <row r="31" spans="1:23" ht="15" hidden="1" thickBot="1" x14ac:dyDescent="0.35">
      <c r="A31" s="6"/>
      <c r="B31" s="25">
        <v>13</v>
      </c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hidden="1" thickBot="1" x14ac:dyDescent="0.35">
      <c r="A32" s="6"/>
      <c r="B32" s="25"/>
      <c r="C32" s="26"/>
      <c r="D32" s="27"/>
      <c r="E32" s="27"/>
      <c r="F32" s="52"/>
      <c r="G32" s="52"/>
      <c r="H32" s="52"/>
      <c r="I32" s="28"/>
      <c r="J32" s="23">
        <f t="shared" si="1"/>
        <v>0</v>
      </c>
      <c r="K32" s="7"/>
    </row>
    <row r="33" spans="1:23" ht="15" hidden="1" thickBot="1" x14ac:dyDescent="0.35">
      <c r="A33" s="6"/>
      <c r="B33" s="25"/>
      <c r="C33" s="26"/>
      <c r="D33" s="27"/>
      <c r="E33" s="27"/>
      <c r="F33" s="28"/>
      <c r="G33" s="28"/>
      <c r="H33" s="27"/>
      <c r="I33" s="28"/>
      <c r="J33" s="29">
        <f t="shared" si="1"/>
        <v>0</v>
      </c>
      <c r="K33" s="7"/>
      <c r="V33" s="5">
        <f t="shared" si="2"/>
        <v>0</v>
      </c>
      <c r="W33" s="5">
        <f t="shared" si="3"/>
        <v>0</v>
      </c>
    </row>
    <row r="34" spans="1:23" ht="24" thickBot="1" x14ac:dyDescent="0.5">
      <c r="A34" s="6"/>
      <c r="B34" s="85" t="s">
        <v>22</v>
      </c>
      <c r="C34" s="86"/>
      <c r="D34" s="86"/>
      <c r="E34" s="86"/>
      <c r="F34" s="86"/>
      <c r="G34" s="86"/>
      <c r="H34" s="87"/>
      <c r="I34" s="30" t="s">
        <v>23</v>
      </c>
      <c r="J34" s="31">
        <f>SUM(J6:J33)</f>
        <v>81930</v>
      </c>
      <c r="K34" s="7"/>
      <c r="V34" s="5">
        <f>SUM(V6:V33)</f>
        <v>9</v>
      </c>
      <c r="W34" s="5">
        <f>SUM(W6:W33)</f>
        <v>2</v>
      </c>
    </row>
    <row r="35" spans="1:23" ht="30" customHeight="1" thickBot="1" x14ac:dyDescent="0.35">
      <c r="A35" s="32"/>
      <c r="B35" s="33"/>
      <c r="C35" s="33"/>
      <c r="D35" s="33"/>
      <c r="E35" s="33"/>
      <c r="F35" s="33"/>
      <c r="G35" s="33"/>
      <c r="H35" s="34"/>
      <c r="I35" s="33"/>
      <c r="J35" s="34"/>
      <c r="K35" s="35"/>
    </row>
  </sheetData>
  <mergeCells count="24">
    <mergeCell ref="M8:O10"/>
    <mergeCell ref="P8:R10"/>
    <mergeCell ref="B34:H34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4" r:id="rId1" xr:uid="{00000000-0004-0000-3300-000000000000}"/>
    <hyperlink ref="M1" location="MASTER!A1" display="Back" xr:uid="{00000000-0004-0000-3300-000001000000}"/>
  </hyperlinks>
  <pageMargins left="0" right="0" top="0" bottom="0" header="0" footer="0"/>
  <pageSetup paperSize="9" orientation="portrait"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W35"/>
  <sheetViews>
    <sheetView topLeftCell="A13" zoomScaleNormal="100" workbookViewId="0">
      <selection activeCell="A21" sqref="A21:XFD24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7.8867187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44986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COUNT(C6:C33)</f>
        <v>15</v>
      </c>
      <c r="O4" s="108">
        <v>10</v>
      </c>
      <c r="P4" s="108">
        <v>5</v>
      </c>
      <c r="Q4" s="110">
        <v>0</v>
      </c>
      <c r="R4" s="94">
        <f>O4/N4</f>
        <v>0.66666666666666663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44986</v>
      </c>
      <c r="D6" s="16" t="s">
        <v>18</v>
      </c>
      <c r="E6" s="16" t="s">
        <v>485</v>
      </c>
      <c r="F6" s="51">
        <v>1.4</v>
      </c>
      <c r="G6" s="51">
        <v>3.3</v>
      </c>
      <c r="H6" s="51">
        <f>3.3-1.4</f>
        <v>1.9</v>
      </c>
      <c r="I6" s="17">
        <v>3850</v>
      </c>
      <c r="J6" s="18">
        <f>H6*I6</f>
        <v>7315</v>
      </c>
      <c r="K6" s="7"/>
      <c r="M6" s="88" t="s">
        <v>19</v>
      </c>
      <c r="N6" s="90">
        <f>SUM(N4:N5)</f>
        <v>15</v>
      </c>
      <c r="O6" s="90">
        <f>SUM(O4:O5)</f>
        <v>10</v>
      </c>
      <c r="P6" s="90">
        <f>SUM(P4:P5)</f>
        <v>5</v>
      </c>
      <c r="Q6" s="92">
        <f>SUM(Q4:Q5)</f>
        <v>0</v>
      </c>
      <c r="R6" s="94">
        <f t="shared" ref="R6" si="0">O6/N6</f>
        <v>0.66666666666666663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44987</v>
      </c>
      <c r="D7" s="21" t="s">
        <v>18</v>
      </c>
      <c r="E7" s="21" t="s">
        <v>484</v>
      </c>
      <c r="F7" s="37">
        <v>40</v>
      </c>
      <c r="G7" s="37">
        <v>140</v>
      </c>
      <c r="H7" s="37">
        <v>100</v>
      </c>
      <c r="I7" s="22">
        <v>50</v>
      </c>
      <c r="J7" s="23">
        <f t="shared" ref="J7:J33" si="1">H7*I7</f>
        <v>5000</v>
      </c>
      <c r="K7" s="7"/>
      <c r="M7" s="89"/>
      <c r="N7" s="91"/>
      <c r="O7" s="91"/>
      <c r="P7" s="91"/>
      <c r="Q7" s="93"/>
      <c r="R7" s="95"/>
      <c r="V7" s="5">
        <f t="shared" ref="V7:V33" si="2">IF($J7&gt;0,1,0)</f>
        <v>1</v>
      </c>
      <c r="W7" s="5">
        <f t="shared" ref="W7:W33" si="3">IF($J7&lt;0,1,0)</f>
        <v>0</v>
      </c>
    </row>
    <row r="8" spans="1:23" x14ac:dyDescent="0.3">
      <c r="A8" s="6"/>
      <c r="B8" s="19">
        <v>3</v>
      </c>
      <c r="C8" s="20">
        <v>44987</v>
      </c>
      <c r="D8" s="21" t="s">
        <v>18</v>
      </c>
      <c r="E8" s="21" t="s">
        <v>483</v>
      </c>
      <c r="F8" s="37">
        <v>35</v>
      </c>
      <c r="G8" s="37">
        <v>95</v>
      </c>
      <c r="H8" s="37">
        <v>60</v>
      </c>
      <c r="I8" s="22">
        <v>100</v>
      </c>
      <c r="J8" s="23">
        <f t="shared" si="1"/>
        <v>6000</v>
      </c>
      <c r="K8" s="7"/>
      <c r="M8" s="67" t="s">
        <v>20</v>
      </c>
      <c r="N8" s="68"/>
      <c r="O8" s="69"/>
      <c r="P8" s="76">
        <f>R6</f>
        <v>0.66666666666666663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44994</v>
      </c>
      <c r="D9" s="21" t="s">
        <v>18</v>
      </c>
      <c r="E9" s="21" t="s">
        <v>486</v>
      </c>
      <c r="F9" s="37">
        <v>18</v>
      </c>
      <c r="G9" s="37">
        <v>21.5</v>
      </c>
      <c r="H9" s="37">
        <v>3.5</v>
      </c>
      <c r="I9" s="22">
        <v>800</v>
      </c>
      <c r="J9" s="23">
        <f t="shared" si="1"/>
        <v>2800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44994</v>
      </c>
      <c r="D10" s="21" t="s">
        <v>18</v>
      </c>
      <c r="E10" s="21" t="s">
        <v>487</v>
      </c>
      <c r="F10" s="37">
        <v>12</v>
      </c>
      <c r="G10" s="37">
        <v>63</v>
      </c>
      <c r="H10" s="37">
        <f>63-12</f>
        <v>51</v>
      </c>
      <c r="I10" s="22">
        <v>100</v>
      </c>
      <c r="J10" s="23">
        <f t="shared" si="1"/>
        <v>5100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44995</v>
      </c>
      <c r="D11" s="21" t="s">
        <v>18</v>
      </c>
      <c r="E11" s="21" t="s">
        <v>488</v>
      </c>
      <c r="F11" s="37">
        <v>19</v>
      </c>
      <c r="G11" s="37">
        <v>30.5</v>
      </c>
      <c r="H11" s="37">
        <f>30.5-19</f>
        <v>11.5</v>
      </c>
      <c r="I11" s="22">
        <v>800</v>
      </c>
      <c r="J11" s="23">
        <f t="shared" si="1"/>
        <v>9200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45001</v>
      </c>
      <c r="D12" s="21" t="s">
        <v>18</v>
      </c>
      <c r="E12" s="21" t="s">
        <v>489</v>
      </c>
      <c r="F12" s="37">
        <v>15</v>
      </c>
      <c r="G12" s="37">
        <v>31</v>
      </c>
      <c r="H12" s="37">
        <f>31-15</f>
        <v>16</v>
      </c>
      <c r="I12" s="22">
        <v>50</v>
      </c>
      <c r="J12" s="23">
        <f t="shared" si="1"/>
        <v>800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45001</v>
      </c>
      <c r="D13" s="21" t="s">
        <v>18</v>
      </c>
      <c r="E13" s="21" t="s">
        <v>490</v>
      </c>
      <c r="F13" s="37">
        <v>10</v>
      </c>
      <c r="G13" s="37">
        <v>35</v>
      </c>
      <c r="H13" s="37">
        <f>35-10</f>
        <v>25</v>
      </c>
      <c r="I13" s="22">
        <v>50</v>
      </c>
      <c r="J13" s="23">
        <f t="shared" si="1"/>
        <v>1250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45002</v>
      </c>
      <c r="D14" s="21" t="s">
        <v>18</v>
      </c>
      <c r="E14" s="21" t="s">
        <v>491</v>
      </c>
      <c r="F14" s="37">
        <v>150</v>
      </c>
      <c r="G14" s="37">
        <v>235</v>
      </c>
      <c r="H14" s="37">
        <f>235-150</f>
        <v>85</v>
      </c>
      <c r="I14" s="22">
        <v>50</v>
      </c>
      <c r="J14" s="23">
        <f t="shared" si="1"/>
        <v>4250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45008</v>
      </c>
      <c r="D15" s="21" t="s">
        <v>18</v>
      </c>
      <c r="E15" s="21" t="s">
        <v>492</v>
      </c>
      <c r="F15" s="37">
        <v>11</v>
      </c>
      <c r="G15" s="37">
        <v>6</v>
      </c>
      <c r="H15" s="37">
        <v>-5</v>
      </c>
      <c r="I15" s="22">
        <v>625</v>
      </c>
      <c r="J15" s="23">
        <f t="shared" si="1"/>
        <v>-3125</v>
      </c>
      <c r="K15" s="7"/>
      <c r="V15" s="5">
        <f>IF($J15&gt;0,1,0)</f>
        <v>0</v>
      </c>
      <c r="W15" s="5">
        <f>IF($J15&lt;0,1,0)</f>
        <v>1</v>
      </c>
    </row>
    <row r="16" spans="1:23" x14ac:dyDescent="0.3">
      <c r="A16" s="6"/>
      <c r="B16" s="19">
        <v>11</v>
      </c>
      <c r="C16" s="20">
        <v>45008</v>
      </c>
      <c r="D16" s="21" t="s">
        <v>18</v>
      </c>
      <c r="E16" s="21" t="s">
        <v>493</v>
      </c>
      <c r="F16" s="37">
        <v>50</v>
      </c>
      <c r="G16" s="37">
        <v>5</v>
      </c>
      <c r="H16" s="37">
        <v>-45</v>
      </c>
      <c r="I16" s="22">
        <v>50</v>
      </c>
      <c r="J16" s="23">
        <f t="shared" si="1"/>
        <v>-2250</v>
      </c>
      <c r="K16" s="7"/>
      <c r="V16" s="5">
        <f>IF($J16&gt;0,1,0)</f>
        <v>0</v>
      </c>
      <c r="W16" s="5">
        <f>IF($J16&lt;0,1,0)</f>
        <v>1</v>
      </c>
    </row>
    <row r="17" spans="1:23" x14ac:dyDescent="0.3">
      <c r="A17" s="6"/>
      <c r="B17" s="19">
        <v>12</v>
      </c>
      <c r="C17" s="20">
        <v>45008</v>
      </c>
      <c r="D17" s="21" t="s">
        <v>18</v>
      </c>
      <c r="E17" s="21" t="s">
        <v>494</v>
      </c>
      <c r="F17" s="37">
        <v>15</v>
      </c>
      <c r="G17" s="37">
        <v>215</v>
      </c>
      <c r="H17" s="37">
        <v>200</v>
      </c>
      <c r="I17" s="22">
        <v>50</v>
      </c>
      <c r="J17" s="23">
        <f t="shared" si="1"/>
        <v>10000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19">
        <v>13</v>
      </c>
      <c r="C18" s="20">
        <v>45012</v>
      </c>
      <c r="D18" s="21" t="s">
        <v>18</v>
      </c>
      <c r="E18" s="21" t="s">
        <v>495</v>
      </c>
      <c r="F18" s="37">
        <v>50</v>
      </c>
      <c r="G18" s="37">
        <v>32</v>
      </c>
      <c r="H18" s="37">
        <v>-18</v>
      </c>
      <c r="I18" s="22">
        <v>125</v>
      </c>
      <c r="J18" s="23">
        <f t="shared" si="1"/>
        <v>-2250</v>
      </c>
      <c r="K18" s="7"/>
    </row>
    <row r="19" spans="1:23" x14ac:dyDescent="0.3">
      <c r="A19" s="6"/>
      <c r="B19" s="19">
        <v>14</v>
      </c>
      <c r="C19" s="20">
        <v>45014</v>
      </c>
      <c r="D19" s="21" t="s">
        <v>18</v>
      </c>
      <c r="E19" s="21" t="s">
        <v>496</v>
      </c>
      <c r="F19" s="37">
        <v>40</v>
      </c>
      <c r="G19" s="37">
        <v>66</v>
      </c>
      <c r="H19" s="37">
        <v>-26</v>
      </c>
      <c r="I19" s="22">
        <v>50</v>
      </c>
      <c r="J19" s="23">
        <f t="shared" si="1"/>
        <v>-1300</v>
      </c>
      <c r="K19" s="7"/>
      <c r="V19" s="5">
        <f t="shared" si="2"/>
        <v>0</v>
      </c>
      <c r="W19" s="5">
        <f t="shared" si="3"/>
        <v>1</v>
      </c>
    </row>
    <row r="20" spans="1:23" x14ac:dyDescent="0.3">
      <c r="A20" s="6"/>
      <c r="B20" s="19">
        <v>14</v>
      </c>
      <c r="C20" s="20">
        <v>45014</v>
      </c>
      <c r="D20" s="21" t="s">
        <v>18</v>
      </c>
      <c r="E20" s="21" t="s">
        <v>497</v>
      </c>
      <c r="F20" s="37">
        <v>10</v>
      </c>
      <c r="G20" s="37">
        <v>40</v>
      </c>
      <c r="H20" s="37">
        <v>-30</v>
      </c>
      <c r="I20" s="22">
        <v>100</v>
      </c>
      <c r="J20" s="23">
        <f t="shared" si="1"/>
        <v>-3000</v>
      </c>
      <c r="K20" s="7"/>
      <c r="V20" s="5">
        <f t="shared" si="2"/>
        <v>0</v>
      </c>
      <c r="W20" s="5">
        <f t="shared" si="3"/>
        <v>1</v>
      </c>
    </row>
    <row r="21" spans="1:23" x14ac:dyDescent="0.3">
      <c r="A21" s="6"/>
      <c r="B21" s="19">
        <v>15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V21" s="5">
        <f t="shared" si="2"/>
        <v>0</v>
      </c>
      <c r="W21" s="5">
        <f t="shared" si="3"/>
        <v>0</v>
      </c>
    </row>
    <row r="22" spans="1:23" x14ac:dyDescent="0.3">
      <c r="A22" s="6"/>
      <c r="B22" s="19">
        <v>16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O22" s="24"/>
      <c r="P22" s="24"/>
      <c r="Q22" s="24"/>
      <c r="R22" s="24"/>
      <c r="V22" s="5">
        <f t="shared" si="2"/>
        <v>0</v>
      </c>
      <c r="W22" s="5">
        <f t="shared" si="3"/>
        <v>0</v>
      </c>
    </row>
    <row r="23" spans="1:23" x14ac:dyDescent="0.3">
      <c r="A23" s="6"/>
      <c r="B23" s="19">
        <v>17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t="15" thickBot="1" x14ac:dyDescent="0.35">
      <c r="A24" s="6"/>
      <c r="B24" s="19">
        <v>18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t="15" hidden="1" thickBot="1" x14ac:dyDescent="0.35">
      <c r="A25" s="6"/>
      <c r="B25" s="19">
        <v>19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t="15" hidden="1" thickBot="1" x14ac:dyDescent="0.35">
      <c r="A26" s="6"/>
      <c r="B26" s="19">
        <v>20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t="15" hidden="1" thickBot="1" x14ac:dyDescent="0.35">
      <c r="A27" s="6"/>
      <c r="B27" s="19">
        <v>21</v>
      </c>
      <c r="C27" s="20"/>
      <c r="D27" s="21"/>
      <c r="E27" s="21"/>
      <c r="F27" s="37"/>
      <c r="G27" s="37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t="15" hidden="1" thickBot="1" x14ac:dyDescent="0.35">
      <c r="A28" s="6"/>
      <c r="B28" s="19">
        <v>22</v>
      </c>
      <c r="C28" s="20"/>
      <c r="D28" s="21"/>
      <c r="E28" s="21"/>
      <c r="F28" s="22"/>
      <c r="G28" s="22"/>
      <c r="H28" s="21"/>
      <c r="I28" s="22"/>
      <c r="J28" s="23">
        <f t="shared" si="1"/>
        <v>0</v>
      </c>
      <c r="K28" s="7"/>
      <c r="V28" s="5">
        <f t="shared" si="2"/>
        <v>0</v>
      </c>
      <c r="W28" s="5">
        <f t="shared" si="3"/>
        <v>0</v>
      </c>
    </row>
    <row r="29" spans="1:23" ht="15" hidden="1" thickBot="1" x14ac:dyDescent="0.35">
      <c r="A29" s="6"/>
      <c r="B29" s="25">
        <v>11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ht="15" hidden="1" thickBot="1" x14ac:dyDescent="0.35">
      <c r="A30" s="6"/>
      <c r="B30" s="25">
        <v>12</v>
      </c>
      <c r="C30" s="26"/>
      <c r="D30" s="27"/>
      <c r="E30" s="27"/>
      <c r="F30" s="28"/>
      <c r="G30" s="52"/>
      <c r="H30" s="52"/>
      <c r="I30" s="28"/>
      <c r="J30" s="23">
        <f t="shared" si="1"/>
        <v>0</v>
      </c>
      <c r="K30" s="7"/>
    </row>
    <row r="31" spans="1:23" ht="15" hidden="1" thickBot="1" x14ac:dyDescent="0.35">
      <c r="A31" s="6"/>
      <c r="B31" s="25">
        <v>13</v>
      </c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hidden="1" thickBot="1" x14ac:dyDescent="0.35">
      <c r="A32" s="6"/>
      <c r="B32" s="25"/>
      <c r="C32" s="26"/>
      <c r="D32" s="27"/>
      <c r="E32" s="27"/>
      <c r="F32" s="52"/>
      <c r="G32" s="52"/>
      <c r="H32" s="52"/>
      <c r="I32" s="28"/>
      <c r="J32" s="23">
        <f t="shared" si="1"/>
        <v>0</v>
      </c>
      <c r="K32" s="7"/>
    </row>
    <row r="33" spans="1:23" ht="15" hidden="1" thickBot="1" x14ac:dyDescent="0.35">
      <c r="A33" s="6"/>
      <c r="B33" s="25"/>
      <c r="C33" s="26"/>
      <c r="D33" s="27"/>
      <c r="E33" s="27"/>
      <c r="F33" s="28"/>
      <c r="G33" s="28"/>
      <c r="H33" s="27"/>
      <c r="I33" s="28"/>
      <c r="J33" s="29">
        <f t="shared" si="1"/>
        <v>0</v>
      </c>
      <c r="K33" s="7"/>
      <c r="V33" s="5">
        <f t="shared" si="2"/>
        <v>0</v>
      </c>
      <c r="W33" s="5">
        <f t="shared" si="3"/>
        <v>0</v>
      </c>
    </row>
    <row r="34" spans="1:23" ht="24" thickBot="1" x14ac:dyDescent="0.5">
      <c r="A34" s="6"/>
      <c r="B34" s="85" t="s">
        <v>22</v>
      </c>
      <c r="C34" s="86"/>
      <c r="D34" s="86"/>
      <c r="E34" s="86"/>
      <c r="F34" s="86"/>
      <c r="G34" s="86"/>
      <c r="H34" s="87"/>
      <c r="I34" s="30" t="s">
        <v>23</v>
      </c>
      <c r="J34" s="31">
        <f>SUM(J6:J33)</f>
        <v>39790</v>
      </c>
      <c r="K34" s="7"/>
      <c r="V34" s="5">
        <f>SUM(V6:V33)</f>
        <v>10</v>
      </c>
      <c r="W34" s="5">
        <f>SUM(W6:W33)</f>
        <v>4</v>
      </c>
    </row>
    <row r="35" spans="1:23" ht="30" customHeight="1" thickBot="1" x14ac:dyDescent="0.35">
      <c r="A35" s="32"/>
      <c r="B35" s="33"/>
      <c r="C35" s="33"/>
      <c r="D35" s="33"/>
      <c r="E35" s="33"/>
      <c r="F35" s="33"/>
      <c r="G35" s="33"/>
      <c r="H35" s="34"/>
      <c r="I35" s="33"/>
      <c r="J35" s="34"/>
      <c r="K35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4:H34"/>
    <mergeCell ref="M6:M7"/>
    <mergeCell ref="N6:N7"/>
    <mergeCell ref="O6:O7"/>
    <mergeCell ref="P6:P7"/>
    <mergeCell ref="Q6:Q7"/>
    <mergeCell ref="R6:R7"/>
  </mergeCells>
  <hyperlinks>
    <hyperlink ref="B34" r:id="rId1" xr:uid="{00000000-0004-0000-3400-000000000000}"/>
    <hyperlink ref="M1" location="MASTER!A1" display="Back" xr:uid="{00000000-0004-0000-3400-000001000000}"/>
  </hyperlinks>
  <pageMargins left="0" right="0" top="0" bottom="0" header="0" footer="0"/>
  <pageSetup paperSize="9" orientation="portrait"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W35"/>
  <sheetViews>
    <sheetView workbookViewId="0">
      <selection activeCell="P4" sqref="P4:P5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7.8867187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45017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COUNT(C6:C33)</f>
        <v>10</v>
      </c>
      <c r="O4" s="108">
        <v>10</v>
      </c>
      <c r="P4" s="108">
        <f>W33</f>
        <v>0</v>
      </c>
      <c r="Q4" s="110"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45019</v>
      </c>
      <c r="D6" s="16" t="s">
        <v>18</v>
      </c>
      <c r="E6" s="16" t="s">
        <v>503</v>
      </c>
      <c r="F6" s="51">
        <v>75</v>
      </c>
      <c r="G6" s="51">
        <v>235</v>
      </c>
      <c r="H6" s="51">
        <f>235-75</f>
        <v>160</v>
      </c>
      <c r="I6" s="17">
        <v>175</v>
      </c>
      <c r="J6" s="18">
        <f>H6*I6</f>
        <v>28000</v>
      </c>
      <c r="K6" s="7"/>
      <c r="M6" s="88" t="s">
        <v>19</v>
      </c>
      <c r="N6" s="90">
        <f>SUM(N4:N5)</f>
        <v>10</v>
      </c>
      <c r="O6" s="90">
        <f>SUM(O4:O5)</f>
        <v>10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45022</v>
      </c>
      <c r="D7" s="21" t="s">
        <v>18</v>
      </c>
      <c r="E7" s="21" t="s">
        <v>498</v>
      </c>
      <c r="F7" s="37">
        <v>20</v>
      </c>
      <c r="G7" s="37">
        <v>35</v>
      </c>
      <c r="H7" s="37">
        <v>15</v>
      </c>
      <c r="I7" s="22">
        <v>50</v>
      </c>
      <c r="J7" s="23">
        <f t="shared" ref="J7:J33" si="1">H7*I7</f>
        <v>750</v>
      </c>
      <c r="K7" s="7"/>
      <c r="M7" s="89"/>
      <c r="N7" s="91"/>
      <c r="O7" s="91"/>
      <c r="P7" s="91"/>
      <c r="Q7" s="93"/>
      <c r="R7" s="95"/>
      <c r="V7" s="5">
        <f t="shared" ref="V7:V33" si="2">IF($J7&gt;0,1,0)</f>
        <v>1</v>
      </c>
      <c r="W7" s="5">
        <f t="shared" ref="W7:W33" si="3">IF($J7&lt;0,1,0)</f>
        <v>0</v>
      </c>
    </row>
    <row r="8" spans="1:23" x14ac:dyDescent="0.3">
      <c r="A8" s="6"/>
      <c r="B8" s="19">
        <v>3</v>
      </c>
      <c r="C8" s="20">
        <v>45022</v>
      </c>
      <c r="D8" s="21" t="s">
        <v>18</v>
      </c>
      <c r="E8" s="21" t="s">
        <v>499</v>
      </c>
      <c r="F8" s="37">
        <v>30</v>
      </c>
      <c r="G8" s="37">
        <v>56</v>
      </c>
      <c r="H8" s="37">
        <v>26</v>
      </c>
      <c r="I8" s="22">
        <v>50</v>
      </c>
      <c r="J8" s="23">
        <f t="shared" si="1"/>
        <v>1300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45027</v>
      </c>
      <c r="D9" s="21" t="s">
        <v>18</v>
      </c>
      <c r="E9" s="21" t="s">
        <v>500</v>
      </c>
      <c r="F9" s="37">
        <v>105</v>
      </c>
      <c r="G9" s="37">
        <v>125.45</v>
      </c>
      <c r="H9" s="37">
        <f>125.45-105</f>
        <v>20.450000000000003</v>
      </c>
      <c r="I9" s="22">
        <v>125</v>
      </c>
      <c r="J9" s="23">
        <f t="shared" si="1"/>
        <v>2556.2500000000005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45028</v>
      </c>
      <c r="D10" s="21" t="s">
        <v>18</v>
      </c>
      <c r="E10" s="21" t="s">
        <v>501</v>
      </c>
      <c r="F10" s="37">
        <v>25</v>
      </c>
      <c r="G10" s="37">
        <v>27.75</v>
      </c>
      <c r="H10" s="37">
        <v>2.75</v>
      </c>
      <c r="I10" s="22">
        <v>500</v>
      </c>
      <c r="J10" s="23">
        <f t="shared" si="1"/>
        <v>1375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45029</v>
      </c>
      <c r="D11" s="21" t="s">
        <v>18</v>
      </c>
      <c r="E11" s="21" t="s">
        <v>502</v>
      </c>
      <c r="F11" s="37">
        <v>10</v>
      </c>
      <c r="G11" s="37">
        <v>23</v>
      </c>
      <c r="H11" s="37">
        <v>13</v>
      </c>
      <c r="I11" s="22">
        <v>100</v>
      </c>
      <c r="J11" s="23">
        <f t="shared" si="1"/>
        <v>1300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45029</v>
      </c>
      <c r="D12" s="21" t="s">
        <v>18</v>
      </c>
      <c r="E12" s="21" t="s">
        <v>453</v>
      </c>
      <c r="F12" s="37">
        <v>25</v>
      </c>
      <c r="G12" s="37">
        <v>40</v>
      </c>
      <c r="H12" s="37">
        <f>40-25</f>
        <v>15</v>
      </c>
      <c r="I12" s="22">
        <v>50</v>
      </c>
      <c r="J12" s="23">
        <f t="shared" si="1"/>
        <v>750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45036</v>
      </c>
      <c r="D13" s="21" t="s">
        <v>18</v>
      </c>
      <c r="E13" s="21" t="s">
        <v>504</v>
      </c>
      <c r="F13" s="37">
        <v>15</v>
      </c>
      <c r="G13" s="37">
        <v>35</v>
      </c>
      <c r="H13" s="37">
        <v>20</v>
      </c>
      <c r="I13" s="22">
        <v>100</v>
      </c>
      <c r="J13" s="23">
        <f t="shared" si="1"/>
        <v>2000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45037</v>
      </c>
      <c r="D14" s="21" t="s">
        <v>18</v>
      </c>
      <c r="E14" s="21" t="s">
        <v>505</v>
      </c>
      <c r="F14" s="37">
        <v>10</v>
      </c>
      <c r="G14" s="37">
        <v>29</v>
      </c>
      <c r="H14" s="37">
        <v>19</v>
      </c>
      <c r="I14" s="22">
        <v>1000</v>
      </c>
      <c r="J14" s="23">
        <f t="shared" si="1"/>
        <v>19000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45042</v>
      </c>
      <c r="D15" s="21" t="s">
        <v>18</v>
      </c>
      <c r="E15" s="21" t="s">
        <v>506</v>
      </c>
      <c r="F15" s="37">
        <v>10</v>
      </c>
      <c r="G15" s="37">
        <v>43</v>
      </c>
      <c r="H15" s="37">
        <f>43-10</f>
        <v>33</v>
      </c>
      <c r="I15" s="22">
        <v>275</v>
      </c>
      <c r="J15" s="23">
        <f t="shared" si="1"/>
        <v>9075</v>
      </c>
      <c r="K15" s="7"/>
      <c r="V15" s="5">
        <f>IF($J15&gt;0,1,0)</f>
        <v>1</v>
      </c>
      <c r="W15" s="5">
        <f>IF($J15&lt;0,1,0)</f>
        <v>0</v>
      </c>
    </row>
    <row r="16" spans="1:23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</row>
    <row r="19" spans="1:23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x14ac:dyDescent="0.3">
      <c r="A20" s="6"/>
      <c r="B20" s="19">
        <v>14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x14ac:dyDescent="0.3">
      <c r="A21" s="6"/>
      <c r="B21" s="19">
        <v>15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V21" s="5">
        <f t="shared" si="2"/>
        <v>0</v>
      </c>
      <c r="W21" s="5">
        <f t="shared" si="3"/>
        <v>0</v>
      </c>
    </row>
    <row r="22" spans="1:23" x14ac:dyDescent="0.3">
      <c r="A22" s="6"/>
      <c r="B22" s="19">
        <v>16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O22" s="24"/>
      <c r="P22" s="24"/>
      <c r="Q22" s="24"/>
      <c r="R22" s="24"/>
      <c r="V22" s="5">
        <f t="shared" si="2"/>
        <v>0</v>
      </c>
      <c r="W22" s="5">
        <f t="shared" si="3"/>
        <v>0</v>
      </c>
    </row>
    <row r="23" spans="1:23" x14ac:dyDescent="0.3">
      <c r="A23" s="6"/>
      <c r="B23" s="19">
        <v>17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t="15" thickBot="1" x14ac:dyDescent="0.35">
      <c r="A24" s="6"/>
      <c r="B24" s="19">
        <v>18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t="15" hidden="1" thickBot="1" x14ac:dyDescent="0.35">
      <c r="A25" s="6"/>
      <c r="B25" s="19">
        <v>19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t="15" hidden="1" thickBot="1" x14ac:dyDescent="0.35">
      <c r="A26" s="6"/>
      <c r="B26" s="19">
        <v>20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t="15" hidden="1" thickBot="1" x14ac:dyDescent="0.35">
      <c r="A27" s="6"/>
      <c r="B27" s="19">
        <v>21</v>
      </c>
      <c r="C27" s="20"/>
      <c r="D27" s="21"/>
      <c r="E27" s="21"/>
      <c r="F27" s="37"/>
      <c r="G27" s="37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t="15" hidden="1" thickBot="1" x14ac:dyDescent="0.35">
      <c r="A28" s="6"/>
      <c r="B28" s="19">
        <v>22</v>
      </c>
      <c r="C28" s="20"/>
      <c r="D28" s="21"/>
      <c r="E28" s="21"/>
      <c r="F28" s="22"/>
      <c r="G28" s="22"/>
      <c r="H28" s="21"/>
      <c r="I28" s="22"/>
      <c r="J28" s="23">
        <f t="shared" si="1"/>
        <v>0</v>
      </c>
      <c r="K28" s="7"/>
      <c r="V28" s="5">
        <f t="shared" si="2"/>
        <v>0</v>
      </c>
      <c r="W28" s="5">
        <f t="shared" si="3"/>
        <v>0</v>
      </c>
    </row>
    <row r="29" spans="1:23" ht="15" hidden="1" thickBot="1" x14ac:dyDescent="0.35">
      <c r="A29" s="6"/>
      <c r="B29" s="25">
        <v>11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ht="15" hidden="1" thickBot="1" x14ac:dyDescent="0.35">
      <c r="A30" s="6"/>
      <c r="B30" s="25">
        <v>12</v>
      </c>
      <c r="C30" s="26"/>
      <c r="D30" s="27"/>
      <c r="E30" s="27"/>
      <c r="F30" s="28"/>
      <c r="G30" s="52"/>
      <c r="H30" s="52"/>
      <c r="I30" s="28"/>
      <c r="J30" s="23">
        <f t="shared" si="1"/>
        <v>0</v>
      </c>
      <c r="K30" s="7"/>
    </row>
    <row r="31" spans="1:23" ht="15" hidden="1" thickBot="1" x14ac:dyDescent="0.35">
      <c r="A31" s="6"/>
      <c r="B31" s="25">
        <v>13</v>
      </c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hidden="1" thickBot="1" x14ac:dyDescent="0.35">
      <c r="A32" s="6"/>
      <c r="B32" s="25"/>
      <c r="C32" s="26"/>
      <c r="D32" s="27"/>
      <c r="E32" s="27"/>
      <c r="F32" s="52"/>
      <c r="G32" s="52"/>
      <c r="H32" s="52"/>
      <c r="I32" s="28"/>
      <c r="J32" s="23">
        <f t="shared" si="1"/>
        <v>0</v>
      </c>
      <c r="K32" s="7"/>
    </row>
    <row r="33" spans="1:23" ht="15" hidden="1" thickBot="1" x14ac:dyDescent="0.35">
      <c r="A33" s="6"/>
      <c r="B33" s="25"/>
      <c r="C33" s="26"/>
      <c r="D33" s="27"/>
      <c r="E33" s="27"/>
      <c r="F33" s="28"/>
      <c r="G33" s="28"/>
      <c r="H33" s="27"/>
      <c r="I33" s="28"/>
      <c r="J33" s="29">
        <f t="shared" si="1"/>
        <v>0</v>
      </c>
      <c r="K33" s="7"/>
      <c r="V33" s="5">
        <f t="shared" si="2"/>
        <v>0</v>
      </c>
      <c r="W33" s="5">
        <f t="shared" si="3"/>
        <v>0</v>
      </c>
    </row>
    <row r="34" spans="1:23" ht="24" thickBot="1" x14ac:dyDescent="0.5">
      <c r="A34" s="6"/>
      <c r="B34" s="85" t="s">
        <v>22</v>
      </c>
      <c r="C34" s="86"/>
      <c r="D34" s="86"/>
      <c r="E34" s="86"/>
      <c r="F34" s="86"/>
      <c r="G34" s="86"/>
      <c r="H34" s="87"/>
      <c r="I34" s="30" t="s">
        <v>23</v>
      </c>
      <c r="J34" s="31">
        <f>SUM(J6:J33)</f>
        <v>66106.25</v>
      </c>
      <c r="K34" s="7"/>
      <c r="V34" s="5">
        <f>SUM(V6:V33)</f>
        <v>10</v>
      </c>
      <c r="W34" s="5">
        <f>SUM(W6:W33)</f>
        <v>0</v>
      </c>
    </row>
    <row r="35" spans="1:23" ht="30" customHeight="1" thickBot="1" x14ac:dyDescent="0.35">
      <c r="A35" s="32"/>
      <c r="B35" s="33"/>
      <c r="C35" s="33"/>
      <c r="D35" s="33"/>
      <c r="E35" s="33"/>
      <c r="F35" s="33"/>
      <c r="G35" s="33"/>
      <c r="H35" s="34"/>
      <c r="I35" s="33"/>
      <c r="J35" s="34"/>
      <c r="K35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4:H34"/>
    <mergeCell ref="M6:M7"/>
    <mergeCell ref="N6:N7"/>
    <mergeCell ref="O6:O7"/>
    <mergeCell ref="P6:P7"/>
    <mergeCell ref="Q6:Q7"/>
    <mergeCell ref="R6:R7"/>
  </mergeCells>
  <hyperlinks>
    <hyperlink ref="B34" r:id="rId1" xr:uid="{00000000-0004-0000-3500-000000000000}"/>
    <hyperlink ref="M1" location="MASTER!A1" display="Back" xr:uid="{00000000-0004-0000-3500-000001000000}"/>
  </hyperlinks>
  <pageMargins left="0" right="0" top="0" bottom="0" header="0" footer="0"/>
  <pageSetup paperSize="9" orientation="portrait"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W35"/>
  <sheetViews>
    <sheetView workbookViewId="0">
      <selection activeCell="N34" sqref="N34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7.8867187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45047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COUNT(C6:C33)</f>
        <v>12</v>
      </c>
      <c r="O4" s="108">
        <v>10</v>
      </c>
      <c r="P4" s="108">
        <v>2</v>
      </c>
      <c r="Q4" s="110">
        <v>0</v>
      </c>
      <c r="R4" s="94">
        <f>O4/N4</f>
        <v>0.83333333333333337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45048</v>
      </c>
      <c r="D6" s="16" t="s">
        <v>18</v>
      </c>
      <c r="E6" s="16" t="s">
        <v>507</v>
      </c>
      <c r="F6" s="51">
        <v>1.7</v>
      </c>
      <c r="G6" s="51">
        <v>1</v>
      </c>
      <c r="H6" s="51">
        <v>-0.7</v>
      </c>
      <c r="I6" s="17">
        <v>5500</v>
      </c>
      <c r="J6" s="18">
        <f>H6*I6</f>
        <v>-3849.9999999999995</v>
      </c>
      <c r="K6" s="7"/>
      <c r="M6" s="88" t="s">
        <v>19</v>
      </c>
      <c r="N6" s="90">
        <f>SUM(N4:N5)</f>
        <v>12</v>
      </c>
      <c r="O6" s="90">
        <f>SUM(O4:O5)</f>
        <v>10</v>
      </c>
      <c r="P6" s="90">
        <f>SUM(P4:P5)</f>
        <v>2</v>
      </c>
      <c r="Q6" s="92">
        <f>SUM(Q4:Q5)</f>
        <v>0</v>
      </c>
      <c r="R6" s="94">
        <f t="shared" ref="R6" si="0">O6/N6</f>
        <v>0.83333333333333337</v>
      </c>
      <c r="V6" s="5">
        <f>IF($J6&gt;0,1,0)</f>
        <v>0</v>
      </c>
      <c r="W6" s="5">
        <f>IF($J6&lt;0,1,0)</f>
        <v>1</v>
      </c>
    </row>
    <row r="7" spans="1:23" ht="15" thickBot="1" x14ac:dyDescent="0.35">
      <c r="A7" s="6"/>
      <c r="B7" s="19">
        <v>2</v>
      </c>
      <c r="C7" s="20">
        <v>45050</v>
      </c>
      <c r="D7" s="21" t="s">
        <v>18</v>
      </c>
      <c r="E7" s="21" t="s">
        <v>508</v>
      </c>
      <c r="F7" s="37">
        <v>25</v>
      </c>
      <c r="G7" s="37">
        <v>100</v>
      </c>
      <c r="H7" s="37">
        <f>100-25</f>
        <v>75</v>
      </c>
      <c r="I7" s="22">
        <v>100</v>
      </c>
      <c r="J7" s="23">
        <f t="shared" ref="J7:J33" si="1">H7*I7</f>
        <v>7500</v>
      </c>
      <c r="K7" s="7"/>
      <c r="M7" s="89"/>
      <c r="N7" s="91"/>
      <c r="O7" s="91"/>
      <c r="P7" s="91"/>
      <c r="Q7" s="93"/>
      <c r="R7" s="95"/>
      <c r="V7" s="5">
        <f t="shared" ref="V7:V33" si="2">IF($J7&gt;0,1,0)</f>
        <v>1</v>
      </c>
      <c r="W7" s="5">
        <f t="shared" ref="W7:W33" si="3">IF($J7&lt;0,1,0)</f>
        <v>0</v>
      </c>
    </row>
    <row r="8" spans="1:23" x14ac:dyDescent="0.3">
      <c r="A8" s="6"/>
      <c r="B8" s="19">
        <v>3</v>
      </c>
      <c r="C8" s="20">
        <v>45055</v>
      </c>
      <c r="D8" s="21" t="s">
        <v>18</v>
      </c>
      <c r="E8" s="21" t="s">
        <v>509</v>
      </c>
      <c r="F8" s="37">
        <v>20</v>
      </c>
      <c r="G8" s="37">
        <v>44</v>
      </c>
      <c r="H8" s="37">
        <f>44-20</f>
        <v>24</v>
      </c>
      <c r="I8" s="22">
        <v>450</v>
      </c>
      <c r="J8" s="23">
        <f t="shared" si="1"/>
        <v>10800</v>
      </c>
      <c r="K8" s="7"/>
      <c r="M8" s="67" t="s">
        <v>20</v>
      </c>
      <c r="N8" s="68"/>
      <c r="O8" s="69"/>
      <c r="P8" s="76">
        <f>R6</f>
        <v>0.83333333333333337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45057</v>
      </c>
      <c r="D9" s="21" t="s">
        <v>18</v>
      </c>
      <c r="E9" s="21" t="s">
        <v>510</v>
      </c>
      <c r="F9" s="37">
        <v>20</v>
      </c>
      <c r="G9" s="37">
        <v>57</v>
      </c>
      <c r="H9" s="37">
        <f>57-20</f>
        <v>37</v>
      </c>
      <c r="I9" s="22">
        <v>50</v>
      </c>
      <c r="J9" s="23">
        <f t="shared" si="1"/>
        <v>1850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45064</v>
      </c>
      <c r="D10" s="21" t="s">
        <v>18</v>
      </c>
      <c r="E10" s="21" t="s">
        <v>511</v>
      </c>
      <c r="F10" s="37">
        <v>15</v>
      </c>
      <c r="G10" s="37">
        <v>44</v>
      </c>
      <c r="H10" s="37">
        <f>44-15</f>
        <v>29</v>
      </c>
      <c r="I10" s="22">
        <v>50</v>
      </c>
      <c r="J10" s="23">
        <f t="shared" si="1"/>
        <v>1450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45064</v>
      </c>
      <c r="D11" s="21" t="s">
        <v>18</v>
      </c>
      <c r="E11" s="21" t="s">
        <v>512</v>
      </c>
      <c r="F11" s="37">
        <v>20</v>
      </c>
      <c r="G11" s="37">
        <v>49</v>
      </c>
      <c r="H11" s="37">
        <f>49-20</f>
        <v>29</v>
      </c>
      <c r="I11" s="22">
        <v>100</v>
      </c>
      <c r="J11" s="23">
        <f t="shared" si="1"/>
        <v>2900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45068</v>
      </c>
      <c r="D12" s="21" t="s">
        <v>18</v>
      </c>
      <c r="E12" s="21" t="s">
        <v>515</v>
      </c>
      <c r="F12" s="37">
        <v>6</v>
      </c>
      <c r="G12" s="37">
        <v>15.7</v>
      </c>
      <c r="H12" s="37">
        <f>15.7-6</f>
        <v>9.6999999999999993</v>
      </c>
      <c r="I12" s="22">
        <v>700</v>
      </c>
      <c r="J12" s="23">
        <f t="shared" si="1"/>
        <v>6789.9999999999991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45069</v>
      </c>
      <c r="D13" s="21" t="s">
        <v>18</v>
      </c>
      <c r="E13" s="21" t="s">
        <v>513</v>
      </c>
      <c r="F13" s="37">
        <v>8</v>
      </c>
      <c r="G13" s="37">
        <v>2</v>
      </c>
      <c r="H13" s="37">
        <v>-6</v>
      </c>
      <c r="I13" s="22">
        <v>550</v>
      </c>
      <c r="J13" s="23">
        <f t="shared" si="1"/>
        <v>-3300</v>
      </c>
      <c r="K13" s="7"/>
      <c r="V13" s="5">
        <f t="shared" si="2"/>
        <v>0</v>
      </c>
      <c r="W13" s="5">
        <f t="shared" si="3"/>
        <v>1</v>
      </c>
    </row>
    <row r="14" spans="1:23" x14ac:dyDescent="0.3">
      <c r="A14" s="6"/>
      <c r="B14" s="19">
        <v>9</v>
      </c>
      <c r="C14" s="20">
        <v>45070</v>
      </c>
      <c r="D14" s="21" t="s">
        <v>18</v>
      </c>
      <c r="E14" s="21" t="s">
        <v>514</v>
      </c>
      <c r="F14" s="37">
        <v>25</v>
      </c>
      <c r="G14" s="37">
        <v>31</v>
      </c>
      <c r="H14" s="37">
        <f>31-25</f>
        <v>6</v>
      </c>
      <c r="I14" s="22">
        <v>125</v>
      </c>
      <c r="J14" s="23">
        <f t="shared" si="1"/>
        <v>750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45071</v>
      </c>
      <c r="D15" s="21" t="s">
        <v>18</v>
      </c>
      <c r="E15" s="21" t="s">
        <v>516</v>
      </c>
      <c r="F15" s="37">
        <v>20</v>
      </c>
      <c r="G15" s="37">
        <v>75</v>
      </c>
      <c r="H15" s="37">
        <f>75-20</f>
        <v>55</v>
      </c>
      <c r="I15" s="22">
        <v>50</v>
      </c>
      <c r="J15" s="23">
        <f t="shared" si="1"/>
        <v>2750</v>
      </c>
      <c r="K15" s="7"/>
      <c r="V15" s="5">
        <f>IF($J15&gt;0,1,0)</f>
        <v>1</v>
      </c>
      <c r="W15" s="5">
        <f>IF($J15&lt;0,1,0)</f>
        <v>0</v>
      </c>
    </row>
    <row r="16" spans="1:23" x14ac:dyDescent="0.3">
      <c r="A16" s="6"/>
      <c r="B16" s="19">
        <v>11</v>
      </c>
      <c r="C16" s="20">
        <v>45071</v>
      </c>
      <c r="D16" s="21" t="s">
        <v>18</v>
      </c>
      <c r="E16" s="21" t="s">
        <v>517</v>
      </c>
      <c r="F16" s="37">
        <v>25</v>
      </c>
      <c r="G16" s="37">
        <v>55</v>
      </c>
      <c r="H16" s="37">
        <v>30</v>
      </c>
      <c r="I16" s="22">
        <v>50</v>
      </c>
      <c r="J16" s="23">
        <f t="shared" si="1"/>
        <v>1500</v>
      </c>
      <c r="K16" s="7"/>
      <c r="V16" s="5">
        <f>IF($J16&gt;0,1,0)</f>
        <v>1</v>
      </c>
      <c r="W16" s="5">
        <f>IF($J16&lt;0,1,0)</f>
        <v>0</v>
      </c>
    </row>
    <row r="17" spans="1:23" x14ac:dyDescent="0.3">
      <c r="A17" s="6"/>
      <c r="B17" s="19">
        <v>12</v>
      </c>
      <c r="C17" s="20">
        <v>45076</v>
      </c>
      <c r="D17" s="21" t="s">
        <v>18</v>
      </c>
      <c r="E17" s="21" t="s">
        <v>518</v>
      </c>
      <c r="F17" s="37">
        <v>42</v>
      </c>
      <c r="G17" s="37">
        <v>66</v>
      </c>
      <c r="H17" s="37">
        <f>66-42</f>
        <v>24</v>
      </c>
      <c r="I17" s="22">
        <v>407</v>
      </c>
      <c r="J17" s="23">
        <f t="shared" si="1"/>
        <v>9768</v>
      </c>
      <c r="K17" s="7"/>
      <c r="V17" s="5">
        <f t="shared" si="2"/>
        <v>1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14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15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16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O22" s="24"/>
      <c r="P22" s="24"/>
      <c r="Q22" s="24"/>
      <c r="R22" s="24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17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t="15" thickBot="1" x14ac:dyDescent="0.35">
      <c r="A24" s="6"/>
      <c r="B24" s="19">
        <v>18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t="15" hidden="1" thickBot="1" x14ac:dyDescent="0.35">
      <c r="A25" s="6"/>
      <c r="B25" s="19">
        <v>19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t="15" hidden="1" thickBot="1" x14ac:dyDescent="0.35">
      <c r="A26" s="6"/>
      <c r="B26" s="19">
        <v>20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t="15" hidden="1" thickBot="1" x14ac:dyDescent="0.35">
      <c r="A27" s="6"/>
      <c r="B27" s="19">
        <v>21</v>
      </c>
      <c r="C27" s="20"/>
      <c r="D27" s="21"/>
      <c r="E27" s="21"/>
      <c r="F27" s="37"/>
      <c r="G27" s="37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t="15" hidden="1" thickBot="1" x14ac:dyDescent="0.35">
      <c r="A28" s="6"/>
      <c r="B28" s="19">
        <v>22</v>
      </c>
      <c r="C28" s="20"/>
      <c r="D28" s="21"/>
      <c r="E28" s="21"/>
      <c r="F28" s="22"/>
      <c r="G28" s="22"/>
      <c r="H28" s="21"/>
      <c r="I28" s="22"/>
      <c r="J28" s="23">
        <f t="shared" si="1"/>
        <v>0</v>
      </c>
      <c r="K28" s="7"/>
      <c r="V28" s="5">
        <f t="shared" si="2"/>
        <v>0</v>
      </c>
      <c r="W28" s="5">
        <f t="shared" si="3"/>
        <v>0</v>
      </c>
    </row>
    <row r="29" spans="1:23" ht="15" hidden="1" thickBot="1" x14ac:dyDescent="0.35">
      <c r="A29" s="6"/>
      <c r="B29" s="25">
        <v>11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ht="15" hidden="1" thickBot="1" x14ac:dyDescent="0.35">
      <c r="A30" s="6"/>
      <c r="B30" s="25">
        <v>12</v>
      </c>
      <c r="C30" s="26"/>
      <c r="D30" s="27"/>
      <c r="E30" s="27"/>
      <c r="F30" s="28"/>
      <c r="G30" s="52"/>
      <c r="H30" s="52"/>
      <c r="I30" s="28"/>
      <c r="J30" s="23">
        <f t="shared" si="1"/>
        <v>0</v>
      </c>
      <c r="K30" s="7"/>
    </row>
    <row r="31" spans="1:23" ht="15" hidden="1" thickBot="1" x14ac:dyDescent="0.35">
      <c r="A31" s="6"/>
      <c r="B31" s="25">
        <v>13</v>
      </c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hidden="1" thickBot="1" x14ac:dyDescent="0.35">
      <c r="A32" s="6"/>
      <c r="B32" s="25"/>
      <c r="C32" s="26"/>
      <c r="D32" s="27"/>
      <c r="E32" s="27"/>
      <c r="F32" s="52"/>
      <c r="G32" s="52"/>
      <c r="H32" s="52"/>
      <c r="I32" s="28"/>
      <c r="J32" s="23">
        <f t="shared" si="1"/>
        <v>0</v>
      </c>
      <c r="K32" s="7"/>
    </row>
    <row r="33" spans="1:23" ht="15" hidden="1" thickBot="1" x14ac:dyDescent="0.35">
      <c r="A33" s="6"/>
      <c r="B33" s="25"/>
      <c r="C33" s="26"/>
      <c r="D33" s="27"/>
      <c r="E33" s="27"/>
      <c r="F33" s="28"/>
      <c r="G33" s="28"/>
      <c r="H33" s="27"/>
      <c r="I33" s="28"/>
      <c r="J33" s="29">
        <f t="shared" si="1"/>
        <v>0</v>
      </c>
      <c r="K33" s="7"/>
      <c r="V33" s="5">
        <f t="shared" si="2"/>
        <v>0</v>
      </c>
      <c r="W33" s="5">
        <f t="shared" si="3"/>
        <v>0</v>
      </c>
    </row>
    <row r="34" spans="1:23" ht="24" thickBot="1" x14ac:dyDescent="0.5">
      <c r="A34" s="6"/>
      <c r="B34" s="85" t="s">
        <v>22</v>
      </c>
      <c r="C34" s="86"/>
      <c r="D34" s="86"/>
      <c r="E34" s="86"/>
      <c r="F34" s="86"/>
      <c r="G34" s="86"/>
      <c r="H34" s="87"/>
      <c r="I34" s="30" t="s">
        <v>23</v>
      </c>
      <c r="J34" s="31">
        <f>SUM(J6:J33)</f>
        <v>38908</v>
      </c>
      <c r="K34" s="7"/>
      <c r="V34" s="5">
        <f>SUM(V6:V33)</f>
        <v>10</v>
      </c>
      <c r="W34" s="5">
        <f>SUM(W6:W33)</f>
        <v>2</v>
      </c>
    </row>
    <row r="35" spans="1:23" ht="30" customHeight="1" thickBot="1" x14ac:dyDescent="0.35">
      <c r="A35" s="32"/>
      <c r="B35" s="33"/>
      <c r="C35" s="33"/>
      <c r="D35" s="33"/>
      <c r="E35" s="33"/>
      <c r="F35" s="33"/>
      <c r="G35" s="33"/>
      <c r="H35" s="34"/>
      <c r="I35" s="33"/>
      <c r="J35" s="34"/>
      <c r="K35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4:H34"/>
    <mergeCell ref="M6:M7"/>
    <mergeCell ref="N6:N7"/>
    <mergeCell ref="O6:O7"/>
    <mergeCell ref="P6:P7"/>
    <mergeCell ref="Q6:Q7"/>
    <mergeCell ref="R6:R7"/>
  </mergeCells>
  <hyperlinks>
    <hyperlink ref="B34" r:id="rId1" xr:uid="{00000000-0004-0000-3600-000000000000}"/>
    <hyperlink ref="M1" location="MASTER!A1" display="Back" xr:uid="{00000000-0004-0000-3600-000001000000}"/>
  </hyperlinks>
  <pageMargins left="0" right="0" top="0" bottom="0" header="0" footer="0"/>
  <pageSetup paperSize="9" orientation="portrait"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W35"/>
  <sheetViews>
    <sheetView zoomScale="90" zoomScaleNormal="90" workbookViewId="0">
      <selection activeCell="M18" sqref="M18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7.88671875" style="5" customWidth="1"/>
    <col min="14" max="14" width="11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45078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COUNT(C6:C33)</f>
        <v>19</v>
      </c>
      <c r="O4" s="108">
        <v>19</v>
      </c>
      <c r="P4" s="108">
        <v>0</v>
      </c>
      <c r="Q4" s="110"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45077</v>
      </c>
      <c r="D6" s="16" t="s">
        <v>18</v>
      </c>
      <c r="E6" s="16" t="s">
        <v>519</v>
      </c>
      <c r="F6" s="51">
        <v>70</v>
      </c>
      <c r="G6" s="51">
        <v>93.7</v>
      </c>
      <c r="H6" s="51">
        <f>93.7-70</f>
        <v>23.700000000000003</v>
      </c>
      <c r="I6" s="17">
        <v>200</v>
      </c>
      <c r="J6" s="18">
        <f>H6*I6</f>
        <v>4740.0000000000009</v>
      </c>
      <c r="K6" s="7"/>
      <c r="M6" s="88" t="s">
        <v>19</v>
      </c>
      <c r="N6" s="90">
        <f>SUM(N4:N5)</f>
        <v>19</v>
      </c>
      <c r="O6" s="90">
        <f>SUM(O4:O5)</f>
        <v>19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45078</v>
      </c>
      <c r="D7" s="21" t="s">
        <v>18</v>
      </c>
      <c r="E7" s="21" t="s">
        <v>520</v>
      </c>
      <c r="F7" s="37">
        <v>25</v>
      </c>
      <c r="G7" s="37">
        <v>65</v>
      </c>
      <c r="H7" s="37">
        <f>65-25</f>
        <v>40</v>
      </c>
      <c r="I7" s="22">
        <v>100</v>
      </c>
      <c r="J7" s="23">
        <f t="shared" ref="J7:J33" si="1">H7*I7</f>
        <v>4000</v>
      </c>
      <c r="K7" s="7"/>
      <c r="M7" s="89"/>
      <c r="N7" s="91"/>
      <c r="O7" s="91"/>
      <c r="P7" s="91"/>
      <c r="Q7" s="93"/>
      <c r="R7" s="95"/>
      <c r="V7" s="5">
        <f t="shared" ref="V7:V33" si="2">IF($J7&gt;0,1,0)</f>
        <v>1</v>
      </c>
      <c r="W7" s="5">
        <f t="shared" ref="W7:W33" si="3">IF($J7&lt;0,1,0)</f>
        <v>0</v>
      </c>
    </row>
    <row r="8" spans="1:23" x14ac:dyDescent="0.3">
      <c r="A8" s="6"/>
      <c r="B8" s="19">
        <v>3</v>
      </c>
      <c r="C8" s="20">
        <v>45078</v>
      </c>
      <c r="D8" s="21" t="s">
        <v>18</v>
      </c>
      <c r="E8" s="21" t="s">
        <v>521</v>
      </c>
      <c r="F8" s="37">
        <v>15</v>
      </c>
      <c r="G8" s="37">
        <v>137</v>
      </c>
      <c r="H8" s="37">
        <f>137-15</f>
        <v>122</v>
      </c>
      <c r="I8" s="22">
        <v>50</v>
      </c>
      <c r="J8" s="23">
        <f t="shared" si="1"/>
        <v>6100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45078</v>
      </c>
      <c r="D9" s="21" t="s">
        <v>18</v>
      </c>
      <c r="E9" s="21" t="s">
        <v>522</v>
      </c>
      <c r="F9" s="37">
        <v>135</v>
      </c>
      <c r="G9" s="37">
        <v>161</v>
      </c>
      <c r="H9" s="37">
        <f>161-135</f>
        <v>26</v>
      </c>
      <c r="I9" s="22">
        <v>150</v>
      </c>
      <c r="J9" s="23">
        <f t="shared" si="1"/>
        <v>3900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45079</v>
      </c>
      <c r="D10" s="21" t="s">
        <v>18</v>
      </c>
      <c r="E10" s="21" t="s">
        <v>523</v>
      </c>
      <c r="F10" s="37">
        <v>140</v>
      </c>
      <c r="G10" s="37">
        <v>170</v>
      </c>
      <c r="H10" s="37">
        <v>30</v>
      </c>
      <c r="I10" s="22">
        <v>125</v>
      </c>
      <c r="J10" s="23">
        <f t="shared" si="1"/>
        <v>3750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45084</v>
      </c>
      <c r="D11" s="21" t="s">
        <v>18</v>
      </c>
      <c r="E11" s="21" t="s">
        <v>524</v>
      </c>
      <c r="F11" s="37">
        <v>80</v>
      </c>
      <c r="G11" s="37">
        <v>303</v>
      </c>
      <c r="H11" s="37">
        <f>303-80</f>
        <v>223</v>
      </c>
      <c r="I11" s="22">
        <v>300</v>
      </c>
      <c r="J11" s="23">
        <f t="shared" si="1"/>
        <v>66900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45084</v>
      </c>
      <c r="D12" s="21" t="s">
        <v>18</v>
      </c>
      <c r="E12" s="21" t="s">
        <v>526</v>
      </c>
      <c r="F12" s="37">
        <v>20</v>
      </c>
      <c r="G12" s="37">
        <v>45</v>
      </c>
      <c r="H12" s="37">
        <f>41-20</f>
        <v>21</v>
      </c>
      <c r="I12" s="22">
        <v>100</v>
      </c>
      <c r="J12" s="23">
        <f t="shared" si="1"/>
        <v>2100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45089</v>
      </c>
      <c r="D13" s="21" t="s">
        <v>18</v>
      </c>
      <c r="E13" s="21" t="s">
        <v>525</v>
      </c>
      <c r="F13" s="37">
        <v>68</v>
      </c>
      <c r="G13" s="37">
        <v>135</v>
      </c>
      <c r="H13" s="37">
        <f>135-68</f>
        <v>67</v>
      </c>
      <c r="I13" s="22">
        <v>300</v>
      </c>
      <c r="J13" s="23">
        <f t="shared" si="1"/>
        <v>20100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45090</v>
      </c>
      <c r="D14" s="21" t="s">
        <v>18</v>
      </c>
      <c r="E14" s="21" t="s">
        <v>341</v>
      </c>
      <c r="F14" s="37">
        <v>135</v>
      </c>
      <c r="G14" s="37">
        <v>220</v>
      </c>
      <c r="H14" s="37">
        <f>220-135</f>
        <v>85</v>
      </c>
      <c r="I14" s="22">
        <v>200</v>
      </c>
      <c r="J14" s="23">
        <f t="shared" si="1"/>
        <v>17000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45091</v>
      </c>
      <c r="D15" s="21" t="s">
        <v>18</v>
      </c>
      <c r="E15" s="21" t="s">
        <v>527</v>
      </c>
      <c r="F15" s="37">
        <v>4.3</v>
      </c>
      <c r="G15" s="37">
        <v>6</v>
      </c>
      <c r="H15" s="37">
        <f>6-4.3</f>
        <v>1.7000000000000002</v>
      </c>
      <c r="I15" s="22">
        <v>1425</v>
      </c>
      <c r="J15" s="23">
        <f t="shared" si="1"/>
        <v>2422.5000000000005</v>
      </c>
      <c r="K15" s="7"/>
      <c r="V15" s="5">
        <f>IF($J15&gt;0,1,0)</f>
        <v>1</v>
      </c>
      <c r="W15" s="5">
        <f>IF($J15&lt;0,1,0)</f>
        <v>0</v>
      </c>
    </row>
    <row r="16" spans="1:23" x14ac:dyDescent="0.3">
      <c r="A16" s="6"/>
      <c r="B16" s="19">
        <v>11</v>
      </c>
      <c r="C16" s="20">
        <v>45092</v>
      </c>
      <c r="D16" s="21" t="s">
        <v>18</v>
      </c>
      <c r="E16" s="21" t="s">
        <v>528</v>
      </c>
      <c r="F16" s="37">
        <v>120</v>
      </c>
      <c r="G16" s="37">
        <v>253</v>
      </c>
      <c r="H16" s="37">
        <f>253-120</f>
        <v>133</v>
      </c>
      <c r="I16" s="22">
        <v>125</v>
      </c>
      <c r="J16" s="23">
        <f t="shared" si="1"/>
        <v>16625</v>
      </c>
      <c r="K16" s="7"/>
      <c r="V16" s="5">
        <f>IF($J16&gt;0,1,0)</f>
        <v>1</v>
      </c>
      <c r="W16" s="5">
        <f>IF($J16&lt;0,1,0)</f>
        <v>0</v>
      </c>
    </row>
    <row r="17" spans="1:23" x14ac:dyDescent="0.3">
      <c r="A17" s="6"/>
      <c r="B17" s="19">
        <v>12</v>
      </c>
      <c r="C17" s="20">
        <v>45092</v>
      </c>
      <c r="D17" s="21" t="s">
        <v>18</v>
      </c>
      <c r="E17" s="21" t="s">
        <v>529</v>
      </c>
      <c r="F17" s="37">
        <v>10</v>
      </c>
      <c r="G17" s="37">
        <v>30</v>
      </c>
      <c r="H17" s="37">
        <v>20</v>
      </c>
      <c r="I17" s="22">
        <v>100</v>
      </c>
      <c r="J17" s="23">
        <f t="shared" si="1"/>
        <v>2000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19">
        <v>13</v>
      </c>
      <c r="C18" s="20">
        <v>45092</v>
      </c>
      <c r="D18" s="21" t="s">
        <v>18</v>
      </c>
      <c r="E18" s="21" t="s">
        <v>530</v>
      </c>
      <c r="F18" s="37">
        <v>25</v>
      </c>
      <c r="G18" s="37">
        <v>120</v>
      </c>
      <c r="H18" s="37">
        <f>120-25</f>
        <v>95</v>
      </c>
      <c r="I18" s="22">
        <v>50</v>
      </c>
      <c r="J18" s="23">
        <f t="shared" si="1"/>
        <v>4750</v>
      </c>
      <c r="K18" s="7"/>
    </row>
    <row r="19" spans="1:23" x14ac:dyDescent="0.3">
      <c r="A19" s="6"/>
      <c r="B19" s="19">
        <v>14</v>
      </c>
      <c r="C19" s="20">
        <v>45096</v>
      </c>
      <c r="D19" s="21" t="s">
        <v>18</v>
      </c>
      <c r="E19" s="21" t="s">
        <v>531</v>
      </c>
      <c r="F19" s="37">
        <v>125</v>
      </c>
      <c r="G19" s="37">
        <v>142</v>
      </c>
      <c r="H19" s="37">
        <f>142-125</f>
        <v>17</v>
      </c>
      <c r="I19" s="22">
        <v>200</v>
      </c>
      <c r="J19" s="23">
        <f t="shared" si="1"/>
        <v>3400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19">
        <v>14</v>
      </c>
      <c r="C20" s="20">
        <v>45098</v>
      </c>
      <c r="D20" s="21" t="s">
        <v>18</v>
      </c>
      <c r="E20" s="21" t="s">
        <v>532</v>
      </c>
      <c r="F20" s="37">
        <v>2</v>
      </c>
      <c r="G20" s="37">
        <v>4</v>
      </c>
      <c r="H20" s="37">
        <v>2</v>
      </c>
      <c r="I20" s="22">
        <v>7100</v>
      </c>
      <c r="J20" s="23">
        <f t="shared" si="1"/>
        <v>14200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9">
        <v>15</v>
      </c>
      <c r="C21" s="20">
        <v>45099</v>
      </c>
      <c r="D21" s="21" t="s">
        <v>18</v>
      </c>
      <c r="E21" s="21" t="s">
        <v>533</v>
      </c>
      <c r="F21" s="37">
        <v>10</v>
      </c>
      <c r="G21" s="37">
        <v>67</v>
      </c>
      <c r="H21" s="37">
        <f>67-10</f>
        <v>57</v>
      </c>
      <c r="I21" s="22">
        <v>50</v>
      </c>
      <c r="J21" s="23">
        <f t="shared" si="1"/>
        <v>2850</v>
      </c>
      <c r="K21" s="7"/>
      <c r="V21" s="5">
        <f t="shared" si="2"/>
        <v>1</v>
      </c>
      <c r="W21" s="5">
        <f t="shared" si="3"/>
        <v>0</v>
      </c>
    </row>
    <row r="22" spans="1:23" x14ac:dyDescent="0.3">
      <c r="A22" s="6"/>
      <c r="B22" s="19">
        <v>16</v>
      </c>
      <c r="C22" s="20">
        <v>45099</v>
      </c>
      <c r="D22" s="21" t="s">
        <v>18</v>
      </c>
      <c r="E22" s="21" t="s">
        <v>534</v>
      </c>
      <c r="F22" s="37">
        <v>2.8</v>
      </c>
      <c r="G22" s="37">
        <v>13</v>
      </c>
      <c r="H22" s="37">
        <f>13-2.8</f>
        <v>10.199999999999999</v>
      </c>
      <c r="I22" s="22">
        <v>950</v>
      </c>
      <c r="J22" s="23">
        <f t="shared" si="1"/>
        <v>9690</v>
      </c>
      <c r="K22" s="7"/>
      <c r="O22" s="24"/>
      <c r="P22" s="24"/>
      <c r="Q22" s="24"/>
      <c r="R22" s="24"/>
      <c r="V22" s="5">
        <f t="shared" si="2"/>
        <v>1</v>
      </c>
      <c r="W22" s="5">
        <f t="shared" si="3"/>
        <v>0</v>
      </c>
    </row>
    <row r="23" spans="1:23" x14ac:dyDescent="0.3">
      <c r="A23" s="6"/>
      <c r="B23" s="19">
        <v>17</v>
      </c>
      <c r="C23" s="20">
        <v>45105</v>
      </c>
      <c r="D23" s="21" t="s">
        <v>18</v>
      </c>
      <c r="E23" s="21" t="s">
        <v>535</v>
      </c>
      <c r="F23" s="37">
        <v>30</v>
      </c>
      <c r="G23" s="37">
        <v>95</v>
      </c>
      <c r="H23" s="37">
        <f>95-30</f>
        <v>65</v>
      </c>
      <c r="I23" s="22">
        <v>50</v>
      </c>
      <c r="J23" s="23">
        <f t="shared" si="1"/>
        <v>3250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19">
        <v>18</v>
      </c>
      <c r="C24" s="20">
        <v>45105</v>
      </c>
      <c r="D24" s="21" t="s">
        <v>18</v>
      </c>
      <c r="E24" s="21" t="s">
        <v>536</v>
      </c>
      <c r="F24" s="37">
        <v>10</v>
      </c>
      <c r="G24" s="37">
        <v>27</v>
      </c>
      <c r="H24" s="37">
        <f>27-10</f>
        <v>17</v>
      </c>
      <c r="I24" s="22">
        <v>100</v>
      </c>
      <c r="J24" s="23">
        <f t="shared" si="1"/>
        <v>1700</v>
      </c>
      <c r="K24" s="7"/>
      <c r="V24" s="5">
        <f t="shared" si="2"/>
        <v>1</v>
      </c>
      <c r="W24" s="5">
        <f t="shared" si="3"/>
        <v>0</v>
      </c>
    </row>
    <row r="25" spans="1:23" hidden="1" x14ac:dyDescent="0.3">
      <c r="A25" s="6"/>
      <c r="B25" s="19">
        <v>19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20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21</v>
      </c>
      <c r="C27" s="20"/>
      <c r="D27" s="21"/>
      <c r="E27" s="21"/>
      <c r="F27" s="37"/>
      <c r="G27" s="37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idden="1" x14ac:dyDescent="0.3">
      <c r="A28" s="6"/>
      <c r="B28" s="19">
        <v>22</v>
      </c>
      <c r="C28" s="20"/>
      <c r="D28" s="21"/>
      <c r="E28" s="21"/>
      <c r="F28" s="22"/>
      <c r="G28" s="22"/>
      <c r="H28" s="21"/>
      <c r="I28" s="22"/>
      <c r="J28" s="23">
        <f t="shared" si="1"/>
        <v>0</v>
      </c>
      <c r="K28" s="7"/>
      <c r="V28" s="5">
        <f t="shared" si="2"/>
        <v>0</v>
      </c>
      <c r="W28" s="5">
        <f t="shared" si="3"/>
        <v>0</v>
      </c>
    </row>
    <row r="29" spans="1:23" hidden="1" x14ac:dyDescent="0.3">
      <c r="A29" s="6"/>
      <c r="B29" s="25">
        <v>11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hidden="1" x14ac:dyDescent="0.3">
      <c r="A30" s="6"/>
      <c r="B30" s="25">
        <v>12</v>
      </c>
      <c r="C30" s="26"/>
      <c r="D30" s="27"/>
      <c r="E30" s="27"/>
      <c r="F30" s="28"/>
      <c r="G30" s="52"/>
      <c r="H30" s="52"/>
      <c r="I30" s="28"/>
      <c r="J30" s="23">
        <f t="shared" si="1"/>
        <v>0</v>
      </c>
      <c r="K30" s="7"/>
    </row>
    <row r="31" spans="1:23" hidden="1" x14ac:dyDescent="0.3">
      <c r="A31" s="6"/>
      <c r="B31" s="25">
        <v>13</v>
      </c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idden="1" x14ac:dyDescent="0.3">
      <c r="A32" s="6"/>
      <c r="B32" s="25"/>
      <c r="C32" s="26"/>
      <c r="D32" s="27"/>
      <c r="E32" s="27"/>
      <c r="F32" s="52"/>
      <c r="G32" s="52"/>
      <c r="H32" s="52"/>
      <c r="I32" s="28"/>
      <c r="J32" s="23">
        <f t="shared" si="1"/>
        <v>0</v>
      </c>
      <c r="K32" s="7"/>
    </row>
    <row r="33" spans="1:23" ht="15" thickBot="1" x14ac:dyDescent="0.35">
      <c r="A33" s="6"/>
      <c r="B33" s="25"/>
      <c r="C33" s="26"/>
      <c r="D33" s="27"/>
      <c r="E33" s="27"/>
      <c r="F33" s="28"/>
      <c r="G33" s="28"/>
      <c r="H33" s="27"/>
      <c r="I33" s="28"/>
      <c r="J33" s="29">
        <f t="shared" si="1"/>
        <v>0</v>
      </c>
      <c r="K33" s="7"/>
      <c r="V33" s="5">
        <f t="shared" si="2"/>
        <v>0</v>
      </c>
      <c r="W33" s="5">
        <f t="shared" si="3"/>
        <v>0</v>
      </c>
    </row>
    <row r="34" spans="1:23" ht="24" thickBot="1" x14ac:dyDescent="0.5">
      <c r="A34" s="6"/>
      <c r="B34" s="85" t="s">
        <v>22</v>
      </c>
      <c r="C34" s="86"/>
      <c r="D34" s="86"/>
      <c r="E34" s="86"/>
      <c r="F34" s="86"/>
      <c r="G34" s="86"/>
      <c r="H34" s="87"/>
      <c r="I34" s="30" t="s">
        <v>23</v>
      </c>
      <c r="J34" s="31">
        <f>SUM(J6:J33)</f>
        <v>189477.5</v>
      </c>
      <c r="K34" s="7"/>
      <c r="V34" s="5">
        <f>SUM(V6:V33)</f>
        <v>18</v>
      </c>
      <c r="W34" s="5">
        <f>SUM(W6:W33)</f>
        <v>0</v>
      </c>
    </row>
    <row r="35" spans="1:23" ht="30" customHeight="1" thickBot="1" x14ac:dyDescent="0.35">
      <c r="A35" s="32"/>
      <c r="B35" s="33"/>
      <c r="C35" s="33"/>
      <c r="D35" s="33"/>
      <c r="E35" s="33"/>
      <c r="F35" s="33"/>
      <c r="G35" s="33"/>
      <c r="H35" s="34"/>
      <c r="I35" s="33"/>
      <c r="J35" s="34"/>
      <c r="K35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4:H34"/>
    <mergeCell ref="M6:M7"/>
    <mergeCell ref="N6:N7"/>
    <mergeCell ref="O6:O7"/>
    <mergeCell ref="P6:P7"/>
    <mergeCell ref="Q6:Q7"/>
    <mergeCell ref="R6:R7"/>
  </mergeCells>
  <hyperlinks>
    <hyperlink ref="B34" r:id="rId1" xr:uid="{00000000-0004-0000-3700-000000000000}"/>
    <hyperlink ref="M1" location="MASTER!A1" display="Back" xr:uid="{00000000-0004-0000-3700-000001000000}"/>
  </hyperlinks>
  <pageMargins left="0" right="0" top="0" bottom="0" header="0" footer="0"/>
  <pageSetup paperSize="9" orientation="portrait"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W35"/>
  <sheetViews>
    <sheetView zoomScaleNormal="100" workbookViewId="0">
      <selection activeCell="O4" sqref="O4:O5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7.8867187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45108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COUNT(C6:C33)</f>
        <v>20</v>
      </c>
      <c r="O4" s="108">
        <v>20</v>
      </c>
      <c r="P4" s="108">
        <v>0</v>
      </c>
      <c r="Q4" s="110"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45110</v>
      </c>
      <c r="D6" s="16" t="s">
        <v>18</v>
      </c>
      <c r="E6" s="16" t="s">
        <v>537</v>
      </c>
      <c r="F6" s="51">
        <v>150</v>
      </c>
      <c r="G6" s="51">
        <v>595</v>
      </c>
      <c r="H6" s="51">
        <f>595-150</f>
        <v>445</v>
      </c>
      <c r="I6" s="17">
        <v>125</v>
      </c>
      <c r="J6" s="18">
        <f>H6*I6</f>
        <v>55625</v>
      </c>
      <c r="K6" s="7"/>
      <c r="M6" s="88" t="s">
        <v>19</v>
      </c>
      <c r="N6" s="90">
        <f>SUM(N4:N5)</f>
        <v>20</v>
      </c>
      <c r="O6" s="90">
        <f>SUM(O4:O5)</f>
        <v>20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45112</v>
      </c>
      <c r="D7" s="21" t="s">
        <v>18</v>
      </c>
      <c r="E7" s="21" t="s">
        <v>538</v>
      </c>
      <c r="F7" s="37">
        <v>30</v>
      </c>
      <c r="G7" s="37">
        <v>41.7</v>
      </c>
      <c r="H7" s="37">
        <f>41.7-30</f>
        <v>11.700000000000003</v>
      </c>
      <c r="I7" s="22">
        <v>550</v>
      </c>
      <c r="J7" s="23">
        <f t="shared" ref="J7:J33" si="1">H7*I7</f>
        <v>6435.0000000000018</v>
      </c>
      <c r="K7" s="7"/>
      <c r="M7" s="89"/>
      <c r="N7" s="91"/>
      <c r="O7" s="91"/>
      <c r="P7" s="91"/>
      <c r="Q7" s="93"/>
      <c r="R7" s="95"/>
      <c r="V7" s="5">
        <f t="shared" ref="V7:V33" si="2">IF($J7&gt;0,1,0)</f>
        <v>1</v>
      </c>
      <c r="W7" s="5">
        <f t="shared" ref="W7:W33" si="3">IF($J7&lt;0,1,0)</f>
        <v>0</v>
      </c>
    </row>
    <row r="8" spans="1:23" x14ac:dyDescent="0.3">
      <c r="A8" s="6"/>
      <c r="B8" s="19">
        <v>3</v>
      </c>
      <c r="C8" s="20">
        <v>45113</v>
      </c>
      <c r="D8" s="21" t="s">
        <v>18</v>
      </c>
      <c r="E8" s="21" t="s">
        <v>539</v>
      </c>
      <c r="F8" s="37">
        <v>10</v>
      </c>
      <c r="G8" s="37">
        <v>20</v>
      </c>
      <c r="H8" s="37">
        <v>10</v>
      </c>
      <c r="I8" s="22">
        <v>100</v>
      </c>
      <c r="J8" s="23">
        <f t="shared" si="1"/>
        <v>1000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45113</v>
      </c>
      <c r="D9" s="21" t="s">
        <v>18</v>
      </c>
      <c r="E9" s="21" t="s">
        <v>540</v>
      </c>
      <c r="F9" s="37">
        <v>25</v>
      </c>
      <c r="G9" s="37">
        <v>45</v>
      </c>
      <c r="H9" s="37">
        <v>20</v>
      </c>
      <c r="I9" s="22">
        <v>50</v>
      </c>
      <c r="J9" s="23">
        <f t="shared" si="1"/>
        <v>1000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45117</v>
      </c>
      <c r="D10" s="21" t="s">
        <v>18</v>
      </c>
      <c r="E10" s="21" t="s">
        <v>392</v>
      </c>
      <c r="F10" s="37">
        <v>70</v>
      </c>
      <c r="G10" s="37">
        <v>116</v>
      </c>
      <c r="H10" s="37">
        <f>116-70</f>
        <v>46</v>
      </c>
      <c r="I10" s="22">
        <v>300</v>
      </c>
      <c r="J10" s="23">
        <f t="shared" si="1"/>
        <v>13800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45118</v>
      </c>
      <c r="D11" s="21" t="s">
        <v>18</v>
      </c>
      <c r="E11" s="21" t="s">
        <v>338</v>
      </c>
      <c r="F11" s="37">
        <v>115</v>
      </c>
      <c r="G11" s="37">
        <v>160</v>
      </c>
      <c r="H11" s="37">
        <v>45</v>
      </c>
      <c r="I11" s="22">
        <v>200</v>
      </c>
      <c r="J11" s="23">
        <f t="shared" si="1"/>
        <v>9000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45118</v>
      </c>
      <c r="D12" s="21" t="s">
        <v>18</v>
      </c>
      <c r="E12" s="21" t="s">
        <v>525</v>
      </c>
      <c r="F12" s="37">
        <v>110</v>
      </c>
      <c r="G12" s="37">
        <v>140</v>
      </c>
      <c r="H12" s="37">
        <v>30</v>
      </c>
      <c r="I12" s="22">
        <v>300</v>
      </c>
      <c r="J12" s="23">
        <f t="shared" si="1"/>
        <v>9000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45120</v>
      </c>
      <c r="D13" s="21" t="s">
        <v>18</v>
      </c>
      <c r="E13" s="21" t="s">
        <v>541</v>
      </c>
      <c r="F13" s="37">
        <v>125</v>
      </c>
      <c r="G13" s="37">
        <v>200</v>
      </c>
      <c r="H13" s="37">
        <f>200-125</f>
        <v>75</v>
      </c>
      <c r="I13" s="22">
        <v>150</v>
      </c>
      <c r="J13" s="23">
        <f t="shared" si="1"/>
        <v>11250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45120</v>
      </c>
      <c r="D14" s="21" t="s">
        <v>18</v>
      </c>
      <c r="E14" s="21" t="s">
        <v>542</v>
      </c>
      <c r="F14" s="37">
        <v>20</v>
      </c>
      <c r="G14" s="37">
        <v>117</v>
      </c>
      <c r="H14" s="37">
        <f>117-20</f>
        <v>97</v>
      </c>
      <c r="I14" s="22">
        <v>100</v>
      </c>
      <c r="J14" s="23">
        <f t="shared" si="1"/>
        <v>9700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45121</v>
      </c>
      <c r="D15" s="21" t="s">
        <v>18</v>
      </c>
      <c r="E15" s="21" t="s">
        <v>543</v>
      </c>
      <c r="F15" s="37">
        <v>2.2000000000000002</v>
      </c>
      <c r="G15" s="37">
        <v>2.8</v>
      </c>
      <c r="H15" s="37">
        <v>0.6</v>
      </c>
      <c r="I15" s="22">
        <v>7100</v>
      </c>
      <c r="J15" s="23">
        <f t="shared" si="1"/>
        <v>4260</v>
      </c>
      <c r="K15" s="7"/>
      <c r="V15" s="5">
        <f>IF($J15&gt;0,1,0)</f>
        <v>1</v>
      </c>
      <c r="W15" s="5">
        <f>IF($J15&lt;0,1,0)</f>
        <v>0</v>
      </c>
    </row>
    <row r="16" spans="1:23" x14ac:dyDescent="0.3">
      <c r="A16" s="6"/>
      <c r="B16" s="19">
        <v>11</v>
      </c>
      <c r="C16" s="20">
        <v>45124</v>
      </c>
      <c r="D16" s="21" t="s">
        <v>18</v>
      </c>
      <c r="E16" s="21" t="s">
        <v>544</v>
      </c>
      <c r="F16" s="37">
        <v>45</v>
      </c>
      <c r="G16" s="37">
        <v>61</v>
      </c>
      <c r="H16" s="37">
        <f>61-45</f>
        <v>16</v>
      </c>
      <c r="I16" s="22">
        <v>375</v>
      </c>
      <c r="J16" s="23">
        <f t="shared" si="1"/>
        <v>6000</v>
      </c>
      <c r="K16" s="7"/>
      <c r="V16" s="5">
        <f>IF($J16&gt;0,1,0)</f>
        <v>1</v>
      </c>
      <c r="W16" s="5">
        <f>IF($J16&lt;0,1,0)</f>
        <v>0</v>
      </c>
    </row>
    <row r="17" spans="1:23" x14ac:dyDescent="0.3">
      <c r="A17" s="6"/>
      <c r="B17" s="19">
        <v>12</v>
      </c>
      <c r="C17" s="20">
        <v>45125</v>
      </c>
      <c r="D17" s="21" t="s">
        <v>18</v>
      </c>
      <c r="E17" s="21" t="s">
        <v>545</v>
      </c>
      <c r="F17" s="37">
        <v>68</v>
      </c>
      <c r="G17" s="37">
        <v>144</v>
      </c>
      <c r="H17" s="37">
        <f>144-68</f>
        <v>76</v>
      </c>
      <c r="I17" s="22">
        <v>300</v>
      </c>
      <c r="J17" s="23">
        <f t="shared" si="1"/>
        <v>22800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19">
        <v>13</v>
      </c>
      <c r="C18" s="20">
        <v>45125</v>
      </c>
      <c r="D18" s="21" t="s">
        <v>18</v>
      </c>
      <c r="E18" s="21" t="s">
        <v>546</v>
      </c>
      <c r="F18" s="37">
        <v>62</v>
      </c>
      <c r="G18" s="37">
        <v>85</v>
      </c>
      <c r="H18" s="37">
        <f>85-62</f>
        <v>23</v>
      </c>
      <c r="I18" s="22">
        <v>200</v>
      </c>
      <c r="J18" s="23">
        <f t="shared" si="1"/>
        <v>4600</v>
      </c>
      <c r="K18" s="7"/>
    </row>
    <row r="19" spans="1:23" x14ac:dyDescent="0.3">
      <c r="A19" s="6"/>
      <c r="B19" s="19">
        <v>14</v>
      </c>
      <c r="C19" s="20">
        <v>45126</v>
      </c>
      <c r="D19" s="21" t="s">
        <v>18</v>
      </c>
      <c r="E19" s="21" t="s">
        <v>547</v>
      </c>
      <c r="F19" s="37">
        <v>10</v>
      </c>
      <c r="G19" s="37">
        <v>33.65</v>
      </c>
      <c r="H19" s="37">
        <f>33.65-10</f>
        <v>23.65</v>
      </c>
      <c r="I19" s="22">
        <v>1425</v>
      </c>
      <c r="J19" s="23">
        <f t="shared" si="1"/>
        <v>33701.25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19">
        <v>14</v>
      </c>
      <c r="C20" s="20">
        <v>45128</v>
      </c>
      <c r="D20" s="21" t="s">
        <v>18</v>
      </c>
      <c r="E20" s="21" t="s">
        <v>548</v>
      </c>
      <c r="F20" s="37">
        <v>110</v>
      </c>
      <c r="G20" s="37">
        <v>170</v>
      </c>
      <c r="H20" s="37">
        <f>170-110</f>
        <v>60</v>
      </c>
      <c r="I20" s="22">
        <v>125</v>
      </c>
      <c r="J20" s="23">
        <f t="shared" si="1"/>
        <v>7500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9">
        <v>15</v>
      </c>
      <c r="C21" s="20">
        <v>45133</v>
      </c>
      <c r="D21" s="21" t="s">
        <v>18</v>
      </c>
      <c r="E21" s="21" t="s">
        <v>549</v>
      </c>
      <c r="F21" s="37">
        <v>0.7</v>
      </c>
      <c r="G21" s="37">
        <v>1.95</v>
      </c>
      <c r="H21" s="37">
        <f>1.95-0.7</f>
        <v>1.25</v>
      </c>
      <c r="I21" s="22">
        <v>2000</v>
      </c>
      <c r="J21" s="23">
        <f t="shared" si="1"/>
        <v>2500</v>
      </c>
      <c r="K21" s="7"/>
      <c r="V21" s="5">
        <f t="shared" si="2"/>
        <v>1</v>
      </c>
      <c r="W21" s="5">
        <f t="shared" si="3"/>
        <v>0</v>
      </c>
    </row>
    <row r="22" spans="1:23" x14ac:dyDescent="0.3">
      <c r="A22" s="6"/>
      <c r="B22" s="19">
        <v>16</v>
      </c>
      <c r="C22" s="20">
        <v>45133</v>
      </c>
      <c r="D22" s="21" t="s">
        <v>18</v>
      </c>
      <c r="E22" s="21" t="s">
        <v>550</v>
      </c>
      <c r="F22" s="37">
        <v>30</v>
      </c>
      <c r="G22" s="37">
        <v>70</v>
      </c>
      <c r="H22" s="37">
        <v>40</v>
      </c>
      <c r="I22" s="22">
        <v>30</v>
      </c>
      <c r="J22" s="23">
        <f t="shared" si="1"/>
        <v>1200</v>
      </c>
      <c r="K22" s="7"/>
      <c r="O22" s="24"/>
      <c r="P22" s="24"/>
      <c r="Q22" s="24"/>
      <c r="R22" s="24"/>
      <c r="V22" s="5">
        <f t="shared" si="2"/>
        <v>1</v>
      </c>
      <c r="W22" s="5">
        <f t="shared" si="3"/>
        <v>0</v>
      </c>
    </row>
    <row r="23" spans="1:23" x14ac:dyDescent="0.3">
      <c r="A23" s="6"/>
      <c r="B23" s="19">
        <v>17</v>
      </c>
      <c r="C23" s="20">
        <v>45134</v>
      </c>
      <c r="D23" s="21" t="s">
        <v>18</v>
      </c>
      <c r="E23" s="21" t="s">
        <v>551</v>
      </c>
      <c r="F23" s="37">
        <v>10</v>
      </c>
      <c r="G23" s="37">
        <v>100</v>
      </c>
      <c r="H23" s="37">
        <v>90</v>
      </c>
      <c r="I23" s="22">
        <v>100</v>
      </c>
      <c r="J23" s="23">
        <f t="shared" si="1"/>
        <v>9000</v>
      </c>
      <c r="K23" s="7"/>
      <c r="N23" s="5" t="s">
        <v>21</v>
      </c>
      <c r="V23" s="5">
        <f t="shared" si="2"/>
        <v>1</v>
      </c>
      <c r="W23" s="5">
        <f t="shared" si="3"/>
        <v>0</v>
      </c>
    </row>
    <row r="24" spans="1:23" x14ac:dyDescent="0.3">
      <c r="A24" s="6"/>
      <c r="B24" s="19">
        <v>18</v>
      </c>
      <c r="C24" s="20">
        <v>45134</v>
      </c>
      <c r="D24" s="21" t="s">
        <v>18</v>
      </c>
      <c r="E24" s="21" t="s">
        <v>552</v>
      </c>
      <c r="F24" s="37">
        <v>10</v>
      </c>
      <c r="G24" s="37">
        <v>30</v>
      </c>
      <c r="H24" s="37">
        <v>20</v>
      </c>
      <c r="I24" s="22">
        <v>30</v>
      </c>
      <c r="J24" s="23">
        <f t="shared" si="1"/>
        <v>600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9">
        <v>19</v>
      </c>
      <c r="C25" s="20">
        <v>45138</v>
      </c>
      <c r="D25" s="21" t="s">
        <v>18</v>
      </c>
      <c r="E25" s="21" t="s">
        <v>553</v>
      </c>
      <c r="F25" s="37">
        <v>7</v>
      </c>
      <c r="G25" s="37">
        <v>9.3000000000000007</v>
      </c>
      <c r="H25" s="37">
        <f>9.3-7</f>
        <v>2.3000000000000007</v>
      </c>
      <c r="I25" s="22">
        <v>2500</v>
      </c>
      <c r="J25" s="23">
        <f t="shared" si="1"/>
        <v>5750.0000000000018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19">
        <v>20</v>
      </c>
      <c r="C26" s="20"/>
      <c r="D26" s="21"/>
      <c r="E26" s="21"/>
      <c r="F26" s="37"/>
      <c r="G26" s="37"/>
      <c r="H26" s="21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x14ac:dyDescent="0.3">
      <c r="A27" s="6"/>
      <c r="B27" s="19">
        <v>21</v>
      </c>
      <c r="C27" s="20"/>
      <c r="D27" s="21"/>
      <c r="E27" s="21"/>
      <c r="F27" s="37"/>
      <c r="G27" s="37"/>
      <c r="H27" s="21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x14ac:dyDescent="0.3">
      <c r="A28" s="6"/>
      <c r="B28" s="19">
        <v>22</v>
      </c>
      <c r="C28" s="20"/>
      <c r="D28" s="21"/>
      <c r="E28" s="21"/>
      <c r="F28" s="22"/>
      <c r="G28" s="22"/>
      <c r="H28" s="21"/>
      <c r="I28" s="22"/>
      <c r="J28" s="23">
        <f t="shared" si="1"/>
        <v>0</v>
      </c>
      <c r="K28" s="7"/>
      <c r="V28" s="5">
        <f t="shared" si="2"/>
        <v>0</v>
      </c>
      <c r="W28" s="5">
        <f t="shared" si="3"/>
        <v>0</v>
      </c>
    </row>
    <row r="29" spans="1:23" x14ac:dyDescent="0.3">
      <c r="A29" s="6"/>
      <c r="B29" s="25">
        <v>11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x14ac:dyDescent="0.3">
      <c r="A30" s="6"/>
      <c r="B30" s="25">
        <v>12</v>
      </c>
      <c r="C30" s="26"/>
      <c r="D30" s="27"/>
      <c r="E30" s="27"/>
      <c r="F30" s="28"/>
      <c r="G30" s="52"/>
      <c r="H30" s="52"/>
      <c r="I30" s="28"/>
      <c r="J30" s="23">
        <f t="shared" si="1"/>
        <v>0</v>
      </c>
      <c r="K30" s="7"/>
    </row>
    <row r="31" spans="1:23" x14ac:dyDescent="0.3">
      <c r="A31" s="6"/>
      <c r="B31" s="25">
        <v>13</v>
      </c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x14ac:dyDescent="0.3">
      <c r="A32" s="6"/>
      <c r="B32" s="25"/>
      <c r="C32" s="26"/>
      <c r="D32" s="27"/>
      <c r="E32" s="27"/>
      <c r="F32" s="52"/>
      <c r="G32" s="52"/>
      <c r="H32" s="52"/>
      <c r="I32" s="28"/>
      <c r="J32" s="23">
        <f t="shared" si="1"/>
        <v>0</v>
      </c>
      <c r="K32" s="7"/>
    </row>
    <row r="33" spans="1:23" ht="15" thickBot="1" x14ac:dyDescent="0.35">
      <c r="A33" s="6"/>
      <c r="B33" s="25"/>
      <c r="C33" s="26"/>
      <c r="D33" s="27"/>
      <c r="E33" s="27"/>
      <c r="F33" s="28"/>
      <c r="G33" s="28"/>
      <c r="H33" s="27"/>
      <c r="I33" s="28"/>
      <c r="J33" s="29">
        <f t="shared" si="1"/>
        <v>0</v>
      </c>
      <c r="K33" s="7"/>
      <c r="V33" s="5">
        <f t="shared" si="2"/>
        <v>0</v>
      </c>
      <c r="W33" s="5">
        <f t="shared" si="3"/>
        <v>0</v>
      </c>
    </row>
    <row r="34" spans="1:23" ht="24" thickBot="1" x14ac:dyDescent="0.5">
      <c r="A34" s="6"/>
      <c r="B34" s="85" t="s">
        <v>22</v>
      </c>
      <c r="C34" s="86"/>
      <c r="D34" s="86"/>
      <c r="E34" s="86"/>
      <c r="F34" s="86"/>
      <c r="G34" s="86"/>
      <c r="H34" s="87"/>
      <c r="I34" s="30" t="s">
        <v>23</v>
      </c>
      <c r="J34" s="31">
        <f>SUM(J6:J33)</f>
        <v>214721.25</v>
      </c>
      <c r="K34" s="7"/>
      <c r="V34" s="5">
        <f>SUM(V6:V33)</f>
        <v>19</v>
      </c>
      <c r="W34" s="5">
        <f>SUM(W6:W33)</f>
        <v>0</v>
      </c>
    </row>
    <row r="35" spans="1:23" ht="30" customHeight="1" thickBot="1" x14ac:dyDescent="0.35">
      <c r="A35" s="32"/>
      <c r="B35" s="33"/>
      <c r="C35" s="33"/>
      <c r="D35" s="33"/>
      <c r="E35" s="33"/>
      <c r="F35" s="33"/>
      <c r="G35" s="33"/>
      <c r="H35" s="34"/>
      <c r="I35" s="33"/>
      <c r="J35" s="34"/>
      <c r="K35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4:H34"/>
    <mergeCell ref="M6:M7"/>
    <mergeCell ref="N6:N7"/>
    <mergeCell ref="O6:O7"/>
    <mergeCell ref="P6:P7"/>
    <mergeCell ref="Q6:Q7"/>
    <mergeCell ref="R6:R7"/>
  </mergeCells>
  <hyperlinks>
    <hyperlink ref="B34" r:id="rId1" xr:uid="{00000000-0004-0000-3800-000000000000}"/>
    <hyperlink ref="M1" location="MASTER!A1" display="Back" xr:uid="{00000000-0004-0000-3800-000001000000}"/>
  </hyperlinks>
  <pageMargins left="0" right="0" top="0" bottom="0" header="0" footer="0"/>
  <pageSetup paperSize="9" orientation="portrait"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W35"/>
  <sheetViews>
    <sheetView topLeftCell="A7" zoomScaleNormal="100" workbookViewId="0">
      <selection activeCell="P15" sqref="P15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7.8867187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45139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COUNT(C6:C33)</f>
        <v>20</v>
      </c>
      <c r="O4" s="108">
        <v>20</v>
      </c>
      <c r="P4" s="108">
        <v>0</v>
      </c>
      <c r="Q4" s="110"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45139</v>
      </c>
      <c r="D6" s="16" t="s">
        <v>18</v>
      </c>
      <c r="E6" s="16" t="s">
        <v>554</v>
      </c>
      <c r="F6" s="51">
        <v>240</v>
      </c>
      <c r="G6" s="51">
        <v>370</v>
      </c>
      <c r="H6" s="51">
        <f>370-240</f>
        <v>130</v>
      </c>
      <c r="I6" s="17">
        <v>75</v>
      </c>
      <c r="J6" s="18">
        <f>H6*I6</f>
        <v>9750</v>
      </c>
      <c r="K6" s="7"/>
      <c r="M6" s="88" t="s">
        <v>19</v>
      </c>
      <c r="N6" s="90">
        <f>SUM(N4:N5)</f>
        <v>20</v>
      </c>
      <c r="O6" s="90">
        <f>SUM(O4:O5)</f>
        <v>20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45140</v>
      </c>
      <c r="D7" s="21" t="s">
        <v>18</v>
      </c>
      <c r="E7" s="21" t="s">
        <v>555</v>
      </c>
      <c r="F7" s="37">
        <v>36</v>
      </c>
      <c r="G7" s="37">
        <v>45.6</v>
      </c>
      <c r="H7" s="37">
        <f>45.6-36</f>
        <v>9.6000000000000014</v>
      </c>
      <c r="I7" s="22">
        <v>500</v>
      </c>
      <c r="J7" s="23">
        <f t="shared" ref="J7:J33" si="1">H7*I7</f>
        <v>4800.0000000000009</v>
      </c>
      <c r="K7" s="7"/>
      <c r="M7" s="89"/>
      <c r="N7" s="91"/>
      <c r="O7" s="91"/>
      <c r="P7" s="91"/>
      <c r="Q7" s="93"/>
      <c r="R7" s="95"/>
      <c r="V7" s="5">
        <f t="shared" ref="V7:V33" si="2">IF($J7&gt;0,1,0)</f>
        <v>1</v>
      </c>
      <c r="W7" s="5">
        <f t="shared" ref="W7:W33" si="3">IF($J7&lt;0,1,0)</f>
        <v>0</v>
      </c>
    </row>
    <row r="8" spans="1:23" x14ac:dyDescent="0.3">
      <c r="A8" s="6"/>
      <c r="B8" s="19">
        <v>3</v>
      </c>
      <c r="C8" s="20">
        <v>45141</v>
      </c>
      <c r="D8" s="21" t="s">
        <v>18</v>
      </c>
      <c r="E8" s="21" t="s">
        <v>556</v>
      </c>
      <c r="F8" s="37">
        <v>25</v>
      </c>
      <c r="G8" s="37">
        <v>65</v>
      </c>
      <c r="H8" s="37">
        <f>65-25</f>
        <v>40</v>
      </c>
      <c r="I8" s="22">
        <v>30</v>
      </c>
      <c r="J8" s="23">
        <f t="shared" si="1"/>
        <v>1200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45141</v>
      </c>
      <c r="D9" s="21" t="s">
        <v>18</v>
      </c>
      <c r="E9" s="21" t="s">
        <v>557</v>
      </c>
      <c r="F9" s="37">
        <v>62</v>
      </c>
      <c r="G9" s="37">
        <v>90</v>
      </c>
      <c r="H9" s="37">
        <f>90-62</f>
        <v>28</v>
      </c>
      <c r="I9" s="22">
        <v>300</v>
      </c>
      <c r="J9" s="23">
        <f t="shared" si="1"/>
        <v>8400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45141</v>
      </c>
      <c r="D10" s="21" t="s">
        <v>18</v>
      </c>
      <c r="E10" s="21" t="s">
        <v>563</v>
      </c>
      <c r="F10" s="37">
        <v>10</v>
      </c>
      <c r="G10" s="37">
        <v>25</v>
      </c>
      <c r="H10" s="37">
        <f>25-10</f>
        <v>15</v>
      </c>
      <c r="I10" s="22">
        <v>100</v>
      </c>
      <c r="J10" s="23">
        <f t="shared" si="1"/>
        <v>1500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45147</v>
      </c>
      <c r="D11" s="21" t="s">
        <v>18</v>
      </c>
      <c r="E11" s="21" t="s">
        <v>547</v>
      </c>
      <c r="F11" s="37">
        <v>13</v>
      </c>
      <c r="G11" s="37">
        <v>15.5</v>
      </c>
      <c r="H11" s="37">
        <v>2.5</v>
      </c>
      <c r="I11" s="22">
        <v>1425</v>
      </c>
      <c r="J11" s="23">
        <f t="shared" si="1"/>
        <v>3562.5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45148</v>
      </c>
      <c r="D12" s="21" t="s">
        <v>18</v>
      </c>
      <c r="E12" s="21" t="s">
        <v>558</v>
      </c>
      <c r="F12" s="37">
        <v>20</v>
      </c>
      <c r="G12" s="37">
        <v>33</v>
      </c>
      <c r="H12" s="37">
        <v>13</v>
      </c>
      <c r="I12" s="22">
        <v>100</v>
      </c>
      <c r="J12" s="23">
        <f t="shared" si="1"/>
        <v>1300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45148</v>
      </c>
      <c r="D13" s="21" t="s">
        <v>18</v>
      </c>
      <c r="E13" s="21" t="s">
        <v>559</v>
      </c>
      <c r="F13" s="37">
        <v>20</v>
      </c>
      <c r="G13" s="37">
        <v>35</v>
      </c>
      <c r="H13" s="37">
        <v>15</v>
      </c>
      <c r="I13" s="22">
        <v>30</v>
      </c>
      <c r="J13" s="23">
        <f t="shared" si="1"/>
        <v>450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45154</v>
      </c>
      <c r="D14" s="21" t="s">
        <v>18</v>
      </c>
      <c r="E14" s="21" t="s">
        <v>562</v>
      </c>
      <c r="F14" s="37">
        <v>150</v>
      </c>
      <c r="G14" s="37">
        <v>173.95</v>
      </c>
      <c r="H14" s="37">
        <f>173.95-150</f>
        <v>23.949999999999989</v>
      </c>
      <c r="I14" s="22">
        <v>100</v>
      </c>
      <c r="J14" s="23">
        <f t="shared" si="1"/>
        <v>2394.9999999999991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45155</v>
      </c>
      <c r="D15" s="21" t="s">
        <v>18</v>
      </c>
      <c r="E15" s="21" t="s">
        <v>560</v>
      </c>
      <c r="F15" s="37">
        <v>20</v>
      </c>
      <c r="G15" s="37">
        <v>38</v>
      </c>
      <c r="H15" s="37">
        <v>18</v>
      </c>
      <c r="I15" s="22">
        <v>100</v>
      </c>
      <c r="J15" s="23">
        <f t="shared" si="1"/>
        <v>1800</v>
      </c>
      <c r="K15" s="7"/>
      <c r="V15" s="5">
        <f>IF($J15&gt;0,1,0)</f>
        <v>1</v>
      </c>
      <c r="W15" s="5">
        <f>IF($J15&lt;0,1,0)</f>
        <v>0</v>
      </c>
    </row>
    <row r="16" spans="1:23" x14ac:dyDescent="0.3">
      <c r="A16" s="6"/>
      <c r="B16" s="19">
        <v>11</v>
      </c>
      <c r="C16" s="20">
        <v>45155</v>
      </c>
      <c r="D16" s="21" t="s">
        <v>18</v>
      </c>
      <c r="E16" s="21" t="s">
        <v>511</v>
      </c>
      <c r="F16" s="37">
        <v>25</v>
      </c>
      <c r="G16" s="37">
        <v>45</v>
      </c>
      <c r="H16" s="37">
        <v>20</v>
      </c>
      <c r="I16" s="22">
        <v>30</v>
      </c>
      <c r="J16" s="23">
        <f t="shared" si="1"/>
        <v>600</v>
      </c>
      <c r="K16" s="7"/>
      <c r="V16" s="5">
        <f>IF($J16&gt;0,1,0)</f>
        <v>1</v>
      </c>
      <c r="W16" s="5">
        <f>IF($J16&lt;0,1,0)</f>
        <v>0</v>
      </c>
    </row>
    <row r="17" spans="1:23" x14ac:dyDescent="0.3">
      <c r="A17" s="6"/>
      <c r="B17" s="19">
        <v>12</v>
      </c>
      <c r="C17" s="20">
        <v>45156</v>
      </c>
      <c r="D17" s="21" t="s">
        <v>18</v>
      </c>
      <c r="E17" s="21" t="s">
        <v>561</v>
      </c>
      <c r="F17" s="37">
        <v>110</v>
      </c>
      <c r="G17" s="37">
        <v>200</v>
      </c>
      <c r="H17" s="37">
        <f>200-110</f>
        <v>90</v>
      </c>
      <c r="I17" s="22">
        <v>200</v>
      </c>
      <c r="J17" s="23">
        <f t="shared" si="1"/>
        <v>18000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19">
        <v>13</v>
      </c>
      <c r="C18" s="20">
        <v>45159</v>
      </c>
      <c r="D18" s="21" t="s">
        <v>18</v>
      </c>
      <c r="E18" s="21" t="s">
        <v>564</v>
      </c>
      <c r="F18" s="37">
        <v>115</v>
      </c>
      <c r="G18" s="37">
        <v>140</v>
      </c>
      <c r="H18" s="37">
        <f>140-115</f>
        <v>25</v>
      </c>
      <c r="I18" s="22">
        <v>175</v>
      </c>
      <c r="J18" s="23">
        <f t="shared" si="1"/>
        <v>4375</v>
      </c>
      <c r="K18" s="7"/>
    </row>
    <row r="19" spans="1:23" x14ac:dyDescent="0.3">
      <c r="A19" s="6"/>
      <c r="B19" s="19">
        <v>14</v>
      </c>
      <c r="C19" s="20">
        <v>45161</v>
      </c>
      <c r="D19" s="21" t="s">
        <v>18</v>
      </c>
      <c r="E19" s="21" t="s">
        <v>565</v>
      </c>
      <c r="F19" s="37">
        <v>8</v>
      </c>
      <c r="G19" s="37">
        <v>18</v>
      </c>
      <c r="H19" s="37">
        <v>10</v>
      </c>
      <c r="I19" s="22">
        <v>625</v>
      </c>
      <c r="J19" s="23">
        <f t="shared" si="1"/>
        <v>6250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19">
        <v>14</v>
      </c>
      <c r="C20" s="20">
        <v>45162</v>
      </c>
      <c r="D20" s="21" t="s">
        <v>18</v>
      </c>
      <c r="E20" s="21" t="s">
        <v>566</v>
      </c>
      <c r="F20" s="37">
        <v>40</v>
      </c>
      <c r="G20" s="37">
        <v>60</v>
      </c>
      <c r="H20" s="37">
        <v>20</v>
      </c>
      <c r="I20" s="22">
        <v>30</v>
      </c>
      <c r="J20" s="23">
        <f t="shared" si="1"/>
        <v>600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9">
        <v>15</v>
      </c>
      <c r="C21" s="20">
        <v>45162</v>
      </c>
      <c r="D21" s="21" t="s">
        <v>18</v>
      </c>
      <c r="E21" s="21" t="s">
        <v>567</v>
      </c>
      <c r="F21" s="37">
        <v>5</v>
      </c>
      <c r="G21" s="37">
        <v>17</v>
      </c>
      <c r="H21" s="37">
        <f>17-5</f>
        <v>12</v>
      </c>
      <c r="I21" s="22">
        <v>100</v>
      </c>
      <c r="J21" s="23">
        <f t="shared" si="1"/>
        <v>1200</v>
      </c>
      <c r="K21" s="7"/>
      <c r="V21" s="5">
        <f t="shared" si="2"/>
        <v>1</v>
      </c>
      <c r="W21" s="5">
        <f t="shared" si="3"/>
        <v>0</v>
      </c>
    </row>
    <row r="22" spans="1:23" x14ac:dyDescent="0.3">
      <c r="A22" s="6"/>
      <c r="B22" s="19">
        <v>16</v>
      </c>
      <c r="C22" s="20">
        <v>45167</v>
      </c>
      <c r="D22" s="21" t="s">
        <v>18</v>
      </c>
      <c r="E22" s="21" t="s">
        <v>568</v>
      </c>
      <c r="F22" s="37">
        <v>7</v>
      </c>
      <c r="G22" s="37">
        <v>11.15</v>
      </c>
      <c r="H22" s="37">
        <f>11.15-7</f>
        <v>4.1500000000000004</v>
      </c>
      <c r="I22" s="22">
        <v>475</v>
      </c>
      <c r="J22" s="23">
        <f t="shared" si="1"/>
        <v>1971.2500000000002</v>
      </c>
      <c r="K22" s="7"/>
      <c r="O22" s="24"/>
      <c r="P22" s="24"/>
      <c r="Q22" s="24"/>
      <c r="R22" s="24"/>
      <c r="V22" s="5">
        <f t="shared" si="2"/>
        <v>1</v>
      </c>
      <c r="W22" s="5">
        <f t="shared" si="3"/>
        <v>0</v>
      </c>
    </row>
    <row r="23" spans="1:23" x14ac:dyDescent="0.3">
      <c r="A23" s="6"/>
      <c r="B23" s="19">
        <v>17</v>
      </c>
      <c r="C23" s="20">
        <v>45169</v>
      </c>
      <c r="D23" s="21" t="s">
        <v>18</v>
      </c>
      <c r="E23" s="21" t="s">
        <v>569</v>
      </c>
      <c r="F23" s="37">
        <v>20</v>
      </c>
      <c r="G23" s="37">
        <v>40</v>
      </c>
      <c r="H23" s="37">
        <v>20</v>
      </c>
      <c r="I23" s="22">
        <v>30</v>
      </c>
      <c r="J23" s="23">
        <f t="shared" si="1"/>
        <v>600</v>
      </c>
      <c r="K23" s="7"/>
      <c r="N23" s="5" t="s">
        <v>21</v>
      </c>
      <c r="V23" s="5">
        <f t="shared" si="2"/>
        <v>1</v>
      </c>
      <c r="W23" s="5">
        <f t="shared" si="3"/>
        <v>0</v>
      </c>
    </row>
    <row r="24" spans="1:23" x14ac:dyDescent="0.3">
      <c r="A24" s="6"/>
      <c r="B24" s="19">
        <v>18</v>
      </c>
      <c r="C24" s="20">
        <v>45169</v>
      </c>
      <c r="D24" s="21" t="s">
        <v>18</v>
      </c>
      <c r="E24" s="21" t="s">
        <v>570</v>
      </c>
      <c r="F24" s="37">
        <v>5</v>
      </c>
      <c r="G24" s="37">
        <v>14.7</v>
      </c>
      <c r="H24" s="37">
        <f>14.7-5</f>
        <v>9.6999999999999993</v>
      </c>
      <c r="I24" s="22">
        <v>100</v>
      </c>
      <c r="J24" s="23">
        <f t="shared" si="1"/>
        <v>969.99999999999989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9">
        <v>19</v>
      </c>
      <c r="C25" s="20">
        <v>45169</v>
      </c>
      <c r="D25" s="21" t="s">
        <v>18</v>
      </c>
      <c r="E25" s="21" t="s">
        <v>571</v>
      </c>
      <c r="F25" s="37">
        <v>20</v>
      </c>
      <c r="G25" s="37">
        <v>32</v>
      </c>
      <c r="H25" s="37">
        <v>12</v>
      </c>
      <c r="I25" s="22">
        <v>30</v>
      </c>
      <c r="J25" s="23">
        <f t="shared" si="1"/>
        <v>360</v>
      </c>
      <c r="K25" s="7"/>
      <c r="V25" s="5">
        <f t="shared" si="2"/>
        <v>1</v>
      </c>
      <c r="W25" s="5">
        <f t="shared" si="3"/>
        <v>0</v>
      </c>
    </row>
    <row r="26" spans="1:23" ht="15" thickBot="1" x14ac:dyDescent="0.35">
      <c r="A26" s="6"/>
      <c r="B26" s="19">
        <v>20</v>
      </c>
      <c r="C26" s="20"/>
      <c r="D26" s="21"/>
      <c r="E26" s="21"/>
      <c r="F26" s="37"/>
      <c r="G26" s="37"/>
      <c r="H26" s="37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21</v>
      </c>
      <c r="C27" s="20"/>
      <c r="D27" s="21"/>
      <c r="E27" s="21"/>
      <c r="F27" s="37"/>
      <c r="G27" s="37"/>
      <c r="H27" s="37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idden="1" x14ac:dyDescent="0.3">
      <c r="A28" s="6"/>
      <c r="B28" s="19">
        <v>22</v>
      </c>
      <c r="C28" s="20"/>
      <c r="D28" s="21"/>
      <c r="E28" s="21"/>
      <c r="F28" s="22"/>
      <c r="G28" s="22"/>
      <c r="H28" s="21"/>
      <c r="I28" s="22"/>
      <c r="J28" s="23">
        <f t="shared" si="1"/>
        <v>0</v>
      </c>
      <c r="K28" s="7"/>
      <c r="V28" s="5">
        <f t="shared" si="2"/>
        <v>0</v>
      </c>
      <c r="W28" s="5">
        <f t="shared" si="3"/>
        <v>0</v>
      </c>
    </row>
    <row r="29" spans="1:23" hidden="1" x14ac:dyDescent="0.3">
      <c r="A29" s="6"/>
      <c r="B29" s="25">
        <v>11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hidden="1" x14ac:dyDescent="0.3">
      <c r="A30" s="6"/>
      <c r="B30" s="25">
        <v>12</v>
      </c>
      <c r="C30" s="26"/>
      <c r="D30" s="27"/>
      <c r="E30" s="27"/>
      <c r="F30" s="28"/>
      <c r="G30" s="52"/>
      <c r="H30" s="52"/>
      <c r="I30" s="28"/>
      <c r="J30" s="23">
        <f t="shared" si="1"/>
        <v>0</v>
      </c>
      <c r="K30" s="7"/>
    </row>
    <row r="31" spans="1:23" hidden="1" x14ac:dyDescent="0.3">
      <c r="A31" s="6"/>
      <c r="B31" s="25">
        <v>13</v>
      </c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idden="1" x14ac:dyDescent="0.3">
      <c r="A32" s="6"/>
      <c r="B32" s="25"/>
      <c r="C32" s="26"/>
      <c r="D32" s="27"/>
      <c r="E32" s="27"/>
      <c r="F32" s="52"/>
      <c r="G32" s="52"/>
      <c r="H32" s="52"/>
      <c r="I32" s="28"/>
      <c r="J32" s="23">
        <f t="shared" si="1"/>
        <v>0</v>
      </c>
      <c r="K32" s="7"/>
    </row>
    <row r="33" spans="1:23" ht="15" hidden="1" thickBot="1" x14ac:dyDescent="0.35">
      <c r="A33" s="6"/>
      <c r="B33" s="25"/>
      <c r="C33" s="26"/>
      <c r="D33" s="27"/>
      <c r="E33" s="27"/>
      <c r="F33" s="28"/>
      <c r="G33" s="28"/>
      <c r="H33" s="27"/>
      <c r="I33" s="28"/>
      <c r="J33" s="29">
        <f t="shared" si="1"/>
        <v>0</v>
      </c>
      <c r="K33" s="7"/>
      <c r="V33" s="5">
        <f t="shared" si="2"/>
        <v>0</v>
      </c>
      <c r="W33" s="5">
        <f t="shared" si="3"/>
        <v>0</v>
      </c>
    </row>
    <row r="34" spans="1:23" ht="24" thickBot="1" x14ac:dyDescent="0.5">
      <c r="A34" s="6"/>
      <c r="B34" s="85" t="s">
        <v>22</v>
      </c>
      <c r="C34" s="86"/>
      <c r="D34" s="86"/>
      <c r="E34" s="86"/>
      <c r="F34" s="86"/>
      <c r="G34" s="86"/>
      <c r="H34" s="87"/>
      <c r="I34" s="30" t="s">
        <v>23</v>
      </c>
      <c r="J34" s="31">
        <f>SUM(J6:J33)</f>
        <v>70083.75</v>
      </c>
      <c r="K34" s="7"/>
      <c r="V34" s="5">
        <f>SUM(V6:V33)</f>
        <v>19</v>
      </c>
      <c r="W34" s="5">
        <f>SUM(W6:W33)</f>
        <v>0</v>
      </c>
    </row>
    <row r="35" spans="1:23" ht="30" customHeight="1" thickBot="1" x14ac:dyDescent="0.35">
      <c r="A35" s="32"/>
      <c r="B35" s="33"/>
      <c r="C35" s="33"/>
      <c r="D35" s="33"/>
      <c r="E35" s="33"/>
      <c r="F35" s="33"/>
      <c r="G35" s="33"/>
      <c r="H35" s="34"/>
      <c r="I35" s="33"/>
      <c r="J35" s="34"/>
      <c r="K35" s="35"/>
    </row>
  </sheetData>
  <mergeCells count="24">
    <mergeCell ref="M8:O10"/>
    <mergeCell ref="P8:R10"/>
    <mergeCell ref="B34:H34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4" r:id="rId1" xr:uid="{00000000-0004-0000-3900-000000000000}"/>
    <hyperlink ref="M1" location="MASTER!A1" display="Back" xr:uid="{00000000-0004-0000-3900-000001000000}"/>
  </hyperlinks>
  <pageMargins left="0" right="0" top="0" bottom="0" header="0" footer="0"/>
  <pageSetup paperSize="9" orientation="portrait"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W35"/>
  <sheetViews>
    <sheetView zoomScaleNormal="100" workbookViewId="0">
      <selection activeCell="J12" sqref="C6:J12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7.88671875" style="5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45170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30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COUNT(C6:C33)</f>
        <v>7</v>
      </c>
      <c r="O4" s="108">
        <v>5</v>
      </c>
      <c r="P4" s="108">
        <v>2</v>
      </c>
      <c r="Q4" s="110">
        <v>0</v>
      </c>
      <c r="R4" s="94">
        <f>O4/N4</f>
        <v>0.7142857142857143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45170</v>
      </c>
      <c r="D6" s="16" t="s">
        <v>18</v>
      </c>
      <c r="E6" s="16" t="s">
        <v>572</v>
      </c>
      <c r="F6" s="51">
        <v>150</v>
      </c>
      <c r="G6" s="51">
        <v>199</v>
      </c>
      <c r="H6" s="51">
        <f>199-150</f>
        <v>49</v>
      </c>
      <c r="I6" s="17">
        <v>150</v>
      </c>
      <c r="J6" s="18">
        <f>H6*I6</f>
        <v>7350</v>
      </c>
      <c r="K6" s="7"/>
      <c r="M6" s="88" t="s">
        <v>19</v>
      </c>
      <c r="N6" s="90">
        <f>SUM(N4:N5)</f>
        <v>7</v>
      </c>
      <c r="O6" s="90">
        <f>SUM(O4:O5)</f>
        <v>5</v>
      </c>
      <c r="P6" s="90">
        <f>SUM(P4:P5)</f>
        <v>2</v>
      </c>
      <c r="Q6" s="92">
        <f>SUM(Q4:Q5)</f>
        <v>0</v>
      </c>
      <c r="R6" s="94">
        <f t="shared" ref="R6" si="0">O6/N6</f>
        <v>0.7142857142857143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45173</v>
      </c>
      <c r="D7" s="21" t="s">
        <v>18</v>
      </c>
      <c r="E7" s="21" t="s">
        <v>573</v>
      </c>
      <c r="F7" s="37">
        <v>75</v>
      </c>
      <c r="G7" s="37">
        <v>60</v>
      </c>
      <c r="H7" s="37">
        <v>-15</v>
      </c>
      <c r="I7" s="22">
        <v>300</v>
      </c>
      <c r="J7" s="23">
        <f t="shared" ref="J7:J33" si="1">H7*I7</f>
        <v>-4500</v>
      </c>
      <c r="K7" s="7"/>
      <c r="M7" s="89"/>
      <c r="N7" s="91"/>
      <c r="O7" s="91"/>
      <c r="P7" s="91"/>
      <c r="Q7" s="93"/>
      <c r="R7" s="95"/>
      <c r="V7" s="5">
        <f t="shared" ref="V7:V33" si="2">IF($J7&gt;0,1,0)</f>
        <v>0</v>
      </c>
      <c r="W7" s="5">
        <f t="shared" ref="W7:W33" si="3">IF($J7&lt;0,1,0)</f>
        <v>1</v>
      </c>
    </row>
    <row r="8" spans="1:23" x14ac:dyDescent="0.3">
      <c r="A8" s="6"/>
      <c r="B8" s="19">
        <v>3</v>
      </c>
      <c r="C8" s="20">
        <v>45177</v>
      </c>
      <c r="D8" s="21" t="s">
        <v>18</v>
      </c>
      <c r="E8" s="21" t="s">
        <v>547</v>
      </c>
      <c r="F8" s="37">
        <v>14</v>
      </c>
      <c r="G8" s="37">
        <v>15.2</v>
      </c>
      <c r="H8" s="37">
        <v>1.2</v>
      </c>
      <c r="I8" s="22">
        <v>1425</v>
      </c>
      <c r="J8" s="23">
        <f t="shared" si="1"/>
        <v>1710</v>
      </c>
      <c r="K8" s="7"/>
      <c r="M8" s="67" t="s">
        <v>20</v>
      </c>
      <c r="N8" s="68"/>
      <c r="O8" s="69"/>
      <c r="P8" s="76">
        <f>R6</f>
        <v>0.7142857142857143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45183</v>
      </c>
      <c r="D9" s="21" t="s">
        <v>18</v>
      </c>
      <c r="E9" s="21" t="s">
        <v>574</v>
      </c>
      <c r="F9" s="37">
        <v>2.7</v>
      </c>
      <c r="G9" s="37">
        <v>4.5999999999999996</v>
      </c>
      <c r="H9" s="37">
        <f>4.6-2.7</f>
        <v>1.8999999999999995</v>
      </c>
      <c r="I9" s="22">
        <v>3850</v>
      </c>
      <c r="J9" s="23">
        <f t="shared" si="1"/>
        <v>7314.9999999999982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45189</v>
      </c>
      <c r="D10" s="21" t="s">
        <v>18</v>
      </c>
      <c r="E10" s="21" t="s">
        <v>575</v>
      </c>
      <c r="F10" s="37">
        <v>9</v>
      </c>
      <c r="G10" s="37">
        <v>6</v>
      </c>
      <c r="H10" s="37">
        <v>-3</v>
      </c>
      <c r="I10" s="22">
        <v>1425</v>
      </c>
      <c r="J10" s="23">
        <f t="shared" si="1"/>
        <v>-4275</v>
      </c>
      <c r="K10" s="7"/>
      <c r="M10" s="73"/>
      <c r="N10" s="74"/>
      <c r="O10" s="75"/>
      <c r="P10" s="82"/>
      <c r="Q10" s="83"/>
      <c r="R10" s="84"/>
      <c r="V10" s="5">
        <f t="shared" si="2"/>
        <v>0</v>
      </c>
      <c r="W10" s="5">
        <f t="shared" si="3"/>
        <v>1</v>
      </c>
    </row>
    <row r="11" spans="1:23" x14ac:dyDescent="0.3">
      <c r="A11" s="6"/>
      <c r="B11" s="19">
        <v>6</v>
      </c>
      <c r="C11" s="20">
        <v>45191</v>
      </c>
      <c r="D11" s="21" t="s">
        <v>18</v>
      </c>
      <c r="E11" s="21" t="s">
        <v>576</v>
      </c>
      <c r="F11" s="37">
        <v>110</v>
      </c>
      <c r="G11" s="37">
        <v>144</v>
      </c>
      <c r="H11" s="37">
        <f>144-110</f>
        <v>34</v>
      </c>
      <c r="I11" s="22">
        <v>100</v>
      </c>
      <c r="J11" s="23">
        <f t="shared" si="1"/>
        <v>3400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45196</v>
      </c>
      <c r="D12" s="21" t="s">
        <v>18</v>
      </c>
      <c r="E12" s="21" t="s">
        <v>577</v>
      </c>
      <c r="F12" s="37">
        <v>40</v>
      </c>
      <c r="G12" s="37">
        <v>63</v>
      </c>
      <c r="H12" s="37">
        <f>63-40</f>
        <v>23</v>
      </c>
      <c r="I12" s="22">
        <v>150</v>
      </c>
      <c r="J12" s="23">
        <f t="shared" si="1"/>
        <v>3450</v>
      </c>
      <c r="K12" s="7"/>
      <c r="V12" s="5">
        <f t="shared" si="2"/>
        <v>1</v>
      </c>
      <c r="W12" s="5">
        <f t="shared" si="3"/>
        <v>0</v>
      </c>
    </row>
    <row r="13" spans="1:23" ht="15" thickBot="1" x14ac:dyDescent="0.35">
      <c r="A13" s="6"/>
      <c r="B13" s="19">
        <v>8</v>
      </c>
      <c r="C13" s="20"/>
      <c r="D13" s="21"/>
      <c r="E13" s="21"/>
      <c r="F13" s="37"/>
      <c r="G13" s="37"/>
      <c r="H13" s="37"/>
      <c r="I13" s="22"/>
      <c r="J13" s="23">
        <f t="shared" si="1"/>
        <v>0</v>
      </c>
      <c r="K13" s="7"/>
      <c r="V13" s="5">
        <f t="shared" si="2"/>
        <v>0</v>
      </c>
      <c r="W13" s="5">
        <f t="shared" si="3"/>
        <v>0</v>
      </c>
    </row>
    <row r="14" spans="1:23" hidden="1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hidden="1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idden="1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14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15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16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O22" s="24"/>
      <c r="P22" s="24"/>
      <c r="Q22" s="24"/>
      <c r="R22" s="24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17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N23" s="5" t="s">
        <v>21</v>
      </c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18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19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20</v>
      </c>
      <c r="C26" s="20"/>
      <c r="D26" s="21"/>
      <c r="E26" s="21"/>
      <c r="F26" s="37"/>
      <c r="G26" s="37"/>
      <c r="H26" s="37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21</v>
      </c>
      <c r="C27" s="20"/>
      <c r="D27" s="21"/>
      <c r="E27" s="21"/>
      <c r="F27" s="37"/>
      <c r="G27" s="37"/>
      <c r="H27" s="37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idden="1" x14ac:dyDescent="0.3">
      <c r="A28" s="6"/>
      <c r="B28" s="19">
        <v>22</v>
      </c>
      <c r="C28" s="20"/>
      <c r="D28" s="21"/>
      <c r="E28" s="21"/>
      <c r="F28" s="22"/>
      <c r="G28" s="22"/>
      <c r="H28" s="21"/>
      <c r="I28" s="22"/>
      <c r="J28" s="23">
        <f t="shared" si="1"/>
        <v>0</v>
      </c>
      <c r="K28" s="7"/>
      <c r="V28" s="5">
        <f t="shared" si="2"/>
        <v>0</v>
      </c>
      <c r="W28" s="5">
        <f t="shared" si="3"/>
        <v>0</v>
      </c>
    </row>
    <row r="29" spans="1:23" hidden="1" x14ac:dyDescent="0.3">
      <c r="A29" s="6"/>
      <c r="B29" s="25">
        <v>11</v>
      </c>
      <c r="C29" s="26"/>
      <c r="D29" s="27"/>
      <c r="E29" s="27"/>
      <c r="F29" s="28"/>
      <c r="G29" s="52"/>
      <c r="H29" s="52"/>
      <c r="I29" s="28"/>
      <c r="J29" s="23">
        <f t="shared" si="1"/>
        <v>0</v>
      </c>
      <c r="K29" s="7"/>
    </row>
    <row r="30" spans="1:23" hidden="1" x14ac:dyDescent="0.3">
      <c r="A30" s="6"/>
      <c r="B30" s="25">
        <v>12</v>
      </c>
      <c r="C30" s="26"/>
      <c r="D30" s="27"/>
      <c r="E30" s="27"/>
      <c r="F30" s="28"/>
      <c r="G30" s="52"/>
      <c r="H30" s="52"/>
      <c r="I30" s="28"/>
      <c r="J30" s="23">
        <f t="shared" si="1"/>
        <v>0</v>
      </c>
      <c r="K30" s="7"/>
    </row>
    <row r="31" spans="1:23" hidden="1" x14ac:dyDescent="0.3">
      <c r="A31" s="6"/>
      <c r="B31" s="25">
        <v>13</v>
      </c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idden="1" x14ac:dyDescent="0.3">
      <c r="A32" s="6"/>
      <c r="B32" s="25"/>
      <c r="C32" s="26"/>
      <c r="D32" s="27"/>
      <c r="E32" s="27"/>
      <c r="F32" s="52"/>
      <c r="G32" s="52"/>
      <c r="H32" s="52"/>
      <c r="I32" s="28"/>
      <c r="J32" s="23">
        <f t="shared" si="1"/>
        <v>0</v>
      </c>
      <c r="K32" s="7"/>
    </row>
    <row r="33" spans="1:23" ht="15" hidden="1" thickBot="1" x14ac:dyDescent="0.35">
      <c r="A33" s="6"/>
      <c r="B33" s="25"/>
      <c r="C33" s="26"/>
      <c r="D33" s="27"/>
      <c r="E33" s="27"/>
      <c r="F33" s="28"/>
      <c r="G33" s="28"/>
      <c r="H33" s="27"/>
      <c r="I33" s="28"/>
      <c r="J33" s="29">
        <f t="shared" si="1"/>
        <v>0</v>
      </c>
      <c r="K33" s="7"/>
      <c r="V33" s="5">
        <f t="shared" si="2"/>
        <v>0</v>
      </c>
      <c r="W33" s="5">
        <f t="shared" si="3"/>
        <v>0</v>
      </c>
    </row>
    <row r="34" spans="1:23" ht="24" thickBot="1" x14ac:dyDescent="0.5">
      <c r="A34" s="6"/>
      <c r="B34" s="85" t="s">
        <v>22</v>
      </c>
      <c r="C34" s="86"/>
      <c r="D34" s="86"/>
      <c r="E34" s="86"/>
      <c r="F34" s="86"/>
      <c r="G34" s="86"/>
      <c r="H34" s="87"/>
      <c r="I34" s="30" t="s">
        <v>23</v>
      </c>
      <c r="J34" s="31">
        <f>SUM(J6:J33)</f>
        <v>14449.999999999998</v>
      </c>
      <c r="K34" s="7"/>
      <c r="V34" s="5">
        <f>SUM(V6:V33)</f>
        <v>5</v>
      </c>
      <c r="W34" s="5">
        <f>SUM(W6:W33)</f>
        <v>2</v>
      </c>
    </row>
    <row r="35" spans="1:23" ht="30" customHeight="1" thickBot="1" x14ac:dyDescent="0.35">
      <c r="A35" s="32"/>
      <c r="B35" s="33"/>
      <c r="C35" s="33"/>
      <c r="D35" s="33"/>
      <c r="E35" s="33"/>
      <c r="F35" s="33"/>
      <c r="G35" s="33"/>
      <c r="H35" s="34"/>
      <c r="I35" s="33"/>
      <c r="J35" s="34"/>
      <c r="K35" s="35"/>
    </row>
  </sheetData>
  <mergeCells count="24">
    <mergeCell ref="M8:O10"/>
    <mergeCell ref="P8:R10"/>
    <mergeCell ref="B34:H34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4" r:id="rId1" xr:uid="{00000000-0004-0000-3A00-000000000000}"/>
    <hyperlink ref="M1" location="MASTER!A1" display="Back" xr:uid="{00000000-0004-0000-3A00-000001000000}"/>
  </hyperlinks>
  <pageMargins left="0" right="0" top="0" bottom="0" header="0" footer="0"/>
  <pageSetup paperSize="9" orientation="portrait"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W34"/>
  <sheetViews>
    <sheetView workbookViewId="0">
      <selection activeCell="N14" sqref="N14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45200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612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10</v>
      </c>
      <c r="O4" s="108">
        <f>V33</f>
        <v>10</v>
      </c>
      <c r="P4" s="108">
        <f>W33</f>
        <v>0</v>
      </c>
      <c r="Q4" s="110">
        <f>N4-O4-P4</f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45202</v>
      </c>
      <c r="D6" s="16" t="s">
        <v>18</v>
      </c>
      <c r="E6" s="16" t="s">
        <v>578</v>
      </c>
      <c r="F6" s="51">
        <v>30</v>
      </c>
      <c r="G6" s="51">
        <v>34</v>
      </c>
      <c r="H6" s="51">
        <v>4</v>
      </c>
      <c r="I6" s="17">
        <v>700</v>
      </c>
      <c r="J6" s="18">
        <f>H6*I6</f>
        <v>2800</v>
      </c>
      <c r="K6" s="7"/>
      <c r="M6" s="88" t="s">
        <v>19</v>
      </c>
      <c r="N6" s="90">
        <f>SUM(N4:N5)</f>
        <v>10</v>
      </c>
      <c r="O6" s="90">
        <f>SUM(O4:O5)</f>
        <v>10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45205</v>
      </c>
      <c r="D7" s="21" t="s">
        <v>18</v>
      </c>
      <c r="E7" s="21" t="s">
        <v>579</v>
      </c>
      <c r="F7" s="37">
        <v>100</v>
      </c>
      <c r="G7" s="37">
        <v>112</v>
      </c>
      <c r="H7" s="37">
        <v>12</v>
      </c>
      <c r="I7" s="22">
        <v>200</v>
      </c>
      <c r="J7" s="23">
        <f t="shared" ref="J7:J32" si="1">H7*I7</f>
        <v>2400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45208</v>
      </c>
      <c r="D8" s="21" t="s">
        <v>18</v>
      </c>
      <c r="E8" s="21" t="s">
        <v>586</v>
      </c>
      <c r="F8" s="37">
        <v>20</v>
      </c>
      <c r="G8" s="37">
        <v>23</v>
      </c>
      <c r="H8" s="37">
        <v>3</v>
      </c>
      <c r="I8" s="22">
        <v>500</v>
      </c>
      <c r="J8" s="23">
        <f t="shared" si="1"/>
        <v>1500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45210</v>
      </c>
      <c r="D9" s="21" t="s">
        <v>18</v>
      </c>
      <c r="E9" s="21" t="s">
        <v>580</v>
      </c>
      <c r="F9" s="37">
        <v>53</v>
      </c>
      <c r="G9" s="37">
        <v>75</v>
      </c>
      <c r="H9" s="37">
        <f>75-53</f>
        <v>22</v>
      </c>
      <c r="I9" s="22">
        <v>300</v>
      </c>
      <c r="J9" s="23">
        <f t="shared" si="1"/>
        <v>6600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45215</v>
      </c>
      <c r="D10" s="21" t="s">
        <v>18</v>
      </c>
      <c r="E10" s="21" t="s">
        <v>581</v>
      </c>
      <c r="F10" s="37">
        <v>60</v>
      </c>
      <c r="G10" s="37">
        <v>68</v>
      </c>
      <c r="H10" s="37">
        <v>8</v>
      </c>
      <c r="I10" s="22">
        <v>400</v>
      </c>
      <c r="J10" s="23">
        <f t="shared" si="1"/>
        <v>3200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45215</v>
      </c>
      <c r="D11" s="21" t="s">
        <v>18</v>
      </c>
      <c r="E11" s="21" t="s">
        <v>582</v>
      </c>
      <c r="F11" s="37">
        <v>100</v>
      </c>
      <c r="G11" s="37">
        <v>165</v>
      </c>
      <c r="H11" s="37">
        <v>65</v>
      </c>
      <c r="I11" s="22">
        <v>200</v>
      </c>
      <c r="J11" s="23">
        <f t="shared" si="1"/>
        <v>13000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45217</v>
      </c>
      <c r="D12" s="21" t="s">
        <v>18</v>
      </c>
      <c r="E12" s="21" t="s">
        <v>583</v>
      </c>
      <c r="F12" s="37">
        <v>9</v>
      </c>
      <c r="G12" s="37">
        <v>12.25</v>
      </c>
      <c r="H12" s="37">
        <v>3.25</v>
      </c>
      <c r="I12" s="22">
        <v>1425</v>
      </c>
      <c r="J12" s="23">
        <f t="shared" si="1"/>
        <v>4631.25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45218</v>
      </c>
      <c r="D13" s="21" t="s">
        <v>18</v>
      </c>
      <c r="E13" s="21" t="s">
        <v>584</v>
      </c>
      <c r="F13" s="37">
        <v>55</v>
      </c>
      <c r="G13" s="37">
        <v>79</v>
      </c>
      <c r="H13" s="37">
        <f>79-55</f>
        <v>24</v>
      </c>
      <c r="I13" s="22">
        <v>200</v>
      </c>
      <c r="J13" s="23">
        <f t="shared" si="1"/>
        <v>4800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45222</v>
      </c>
      <c r="D14" s="21" t="s">
        <v>18</v>
      </c>
      <c r="E14" s="21" t="s">
        <v>585</v>
      </c>
      <c r="F14" s="37">
        <v>68</v>
      </c>
      <c r="G14" s="37">
        <v>107</v>
      </c>
      <c r="H14" s="37">
        <f>107-68</f>
        <v>39</v>
      </c>
      <c r="I14" s="22">
        <v>150</v>
      </c>
      <c r="J14" s="23">
        <f t="shared" si="1"/>
        <v>5850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45224</v>
      </c>
      <c r="D15" s="21" t="s">
        <v>18</v>
      </c>
      <c r="E15" s="21" t="s">
        <v>275</v>
      </c>
      <c r="F15" s="37">
        <v>35</v>
      </c>
      <c r="G15" s="37">
        <v>50</v>
      </c>
      <c r="H15" s="37">
        <f>50-35</f>
        <v>15</v>
      </c>
      <c r="I15" s="22">
        <v>200</v>
      </c>
      <c r="J15" s="23">
        <f t="shared" si="1"/>
        <v>3000</v>
      </c>
      <c r="K15" s="7"/>
      <c r="V15" s="5">
        <f>IF($J15&gt;0,1,0)</f>
        <v>1</v>
      </c>
      <c r="W15" s="5">
        <f>IF($J15&lt;0,1,0)</f>
        <v>0</v>
      </c>
    </row>
    <row r="16" spans="1:23" ht="15" thickBot="1" x14ac:dyDescent="0.35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37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37"/>
      <c r="G27" s="37"/>
      <c r="H27" s="37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idden="1" x14ac:dyDescent="0.3">
      <c r="A28" s="6"/>
      <c r="B28" s="25">
        <v>11</v>
      </c>
      <c r="C28" s="20"/>
      <c r="D28" s="21"/>
      <c r="E28" s="21"/>
      <c r="F28" s="37"/>
      <c r="G28" s="37"/>
      <c r="H28" s="37"/>
      <c r="I28" s="22"/>
      <c r="J28" s="23">
        <f t="shared" si="1"/>
        <v>0</v>
      </c>
      <c r="K28" s="7"/>
    </row>
    <row r="29" spans="1:23" hidden="1" x14ac:dyDescent="0.3">
      <c r="A29" s="6"/>
      <c r="B29" s="25">
        <v>12</v>
      </c>
      <c r="C29" s="20"/>
      <c r="D29" s="21"/>
      <c r="E29" s="21"/>
      <c r="F29" s="37"/>
      <c r="G29" s="37"/>
      <c r="H29" s="37"/>
      <c r="I29" s="22"/>
      <c r="J29" s="23">
        <f t="shared" si="1"/>
        <v>0</v>
      </c>
      <c r="K29" s="7"/>
    </row>
    <row r="30" spans="1:23" hidden="1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hidden="1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hidden="1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47781.25</v>
      </c>
      <c r="K33" s="7"/>
      <c r="V33" s="5">
        <f>SUM(V6:V32)</f>
        <v>10</v>
      </c>
      <c r="W33" s="5">
        <f>SUM(W6:W32)</f>
        <v>0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3:H33"/>
    <mergeCell ref="M6:M7"/>
    <mergeCell ref="N6:N7"/>
    <mergeCell ref="O6:O7"/>
    <mergeCell ref="P6:P7"/>
    <mergeCell ref="Q6:Q7"/>
    <mergeCell ref="R6:R7"/>
  </mergeCells>
  <hyperlinks>
    <hyperlink ref="B33" r:id="rId1" xr:uid="{00000000-0004-0000-3B00-000000000000}"/>
    <hyperlink ref="M1" location="MASTER!A1" display="Back" xr:uid="{00000000-0004-0000-3B00-000001000000}"/>
  </hyperlinks>
  <pageMargins left="0" right="0" top="0" bottom="0" header="0" footer="0"/>
  <pageSetup paperSize="9" orientation="portrait"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W34"/>
  <sheetViews>
    <sheetView workbookViewId="0">
      <selection activeCell="B4" sqref="B4:J4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45231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612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6</v>
      </c>
      <c r="O4" s="108">
        <f>V33</f>
        <v>6</v>
      </c>
      <c r="P4" s="108">
        <f>W33</f>
        <v>0</v>
      </c>
      <c r="Q4" s="110">
        <f>N4-O4-P4</f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45232</v>
      </c>
      <c r="D6" s="16" t="s">
        <v>18</v>
      </c>
      <c r="E6" s="16" t="s">
        <v>587</v>
      </c>
      <c r="F6" s="51">
        <v>130</v>
      </c>
      <c r="G6" s="51">
        <v>175</v>
      </c>
      <c r="H6" s="51">
        <f>175-130</f>
        <v>45</v>
      </c>
      <c r="I6" s="17">
        <v>100</v>
      </c>
      <c r="J6" s="18">
        <f>H6*I6</f>
        <v>4500</v>
      </c>
      <c r="K6" s="7"/>
      <c r="M6" s="88" t="s">
        <v>19</v>
      </c>
      <c r="N6" s="90">
        <f>SUM(N4:N5)</f>
        <v>6</v>
      </c>
      <c r="O6" s="90">
        <f>SUM(O4:O5)</f>
        <v>6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45233</v>
      </c>
      <c r="D7" s="21" t="s">
        <v>18</v>
      </c>
      <c r="E7" s="21" t="s">
        <v>588</v>
      </c>
      <c r="F7" s="37">
        <v>5.5</v>
      </c>
      <c r="G7" s="37">
        <v>10.35</v>
      </c>
      <c r="H7" s="37">
        <f>10.35-5.5</f>
        <v>4.8499999999999996</v>
      </c>
      <c r="I7" s="22">
        <v>2800</v>
      </c>
      <c r="J7" s="23">
        <f t="shared" ref="J7:J32" si="1">H7*I7</f>
        <v>13579.999999999998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45237</v>
      </c>
      <c r="D8" s="21" t="s">
        <v>18</v>
      </c>
      <c r="E8" s="21" t="s">
        <v>589</v>
      </c>
      <c r="F8" s="37">
        <v>60</v>
      </c>
      <c r="G8" s="37">
        <v>131</v>
      </c>
      <c r="H8" s="37">
        <f>131-60</f>
        <v>71</v>
      </c>
      <c r="I8" s="22">
        <v>300</v>
      </c>
      <c r="J8" s="23">
        <f t="shared" si="1"/>
        <v>21300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45238</v>
      </c>
      <c r="D9" s="21" t="s">
        <v>18</v>
      </c>
      <c r="E9" s="21" t="s">
        <v>582</v>
      </c>
      <c r="F9" s="37">
        <v>125</v>
      </c>
      <c r="G9" s="37">
        <v>163</v>
      </c>
      <c r="H9" s="37">
        <f>163-125</f>
        <v>38</v>
      </c>
      <c r="I9" s="22">
        <v>200</v>
      </c>
      <c r="J9" s="23">
        <f t="shared" si="1"/>
        <v>7600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45250</v>
      </c>
      <c r="D10" s="21" t="s">
        <v>18</v>
      </c>
      <c r="E10" s="21" t="s">
        <v>590</v>
      </c>
      <c r="F10" s="37">
        <v>50</v>
      </c>
      <c r="G10" s="37">
        <v>80</v>
      </c>
      <c r="H10" s="37">
        <v>30</v>
      </c>
      <c r="I10" s="22">
        <v>300</v>
      </c>
      <c r="J10" s="23">
        <f t="shared" si="1"/>
        <v>9000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45254</v>
      </c>
      <c r="D11" s="21" t="s">
        <v>18</v>
      </c>
      <c r="E11" s="21" t="s">
        <v>591</v>
      </c>
      <c r="F11" s="37">
        <v>45</v>
      </c>
      <c r="G11" s="37">
        <v>136</v>
      </c>
      <c r="H11" s="37">
        <f>136-45</f>
        <v>91</v>
      </c>
      <c r="I11" s="22">
        <v>300</v>
      </c>
      <c r="J11" s="23">
        <f t="shared" si="1"/>
        <v>27300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/>
      <c r="D12" s="21"/>
      <c r="E12" s="21"/>
      <c r="F12" s="37"/>
      <c r="G12" s="37"/>
      <c r="H12" s="37"/>
      <c r="I12" s="22"/>
      <c r="J12" s="23">
        <f t="shared" si="1"/>
        <v>0</v>
      </c>
      <c r="K12" s="7"/>
      <c r="V12" s="5">
        <f t="shared" si="2"/>
        <v>0</v>
      </c>
      <c r="W12" s="5">
        <f t="shared" si="3"/>
        <v>0</v>
      </c>
    </row>
    <row r="13" spans="1:23" x14ac:dyDescent="0.3">
      <c r="A13" s="6"/>
      <c r="B13" s="19">
        <v>8</v>
      </c>
      <c r="C13" s="20"/>
      <c r="D13" s="21"/>
      <c r="E13" s="21"/>
      <c r="F13" s="37"/>
      <c r="G13" s="37"/>
      <c r="H13" s="37"/>
      <c r="I13" s="22"/>
      <c r="J13" s="23">
        <f t="shared" si="1"/>
        <v>0</v>
      </c>
      <c r="K13" s="7"/>
      <c r="V13" s="5">
        <f t="shared" si="2"/>
        <v>0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t="15" thickBot="1" x14ac:dyDescent="0.35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t="15" hidden="1" thickBot="1" x14ac:dyDescent="0.35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t="15" hidden="1" thickBot="1" x14ac:dyDescent="0.35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t="15" hidden="1" thickBot="1" x14ac:dyDescent="0.35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t="15" hidden="1" thickBot="1" x14ac:dyDescent="0.35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t="15" hidden="1" thickBot="1" x14ac:dyDescent="0.35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t="15" hidden="1" thickBot="1" x14ac:dyDescent="0.35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t="15" hidden="1" thickBot="1" x14ac:dyDescent="0.35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t="15" hidden="1" thickBot="1" x14ac:dyDescent="0.35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t="15" hidden="1" thickBot="1" x14ac:dyDescent="0.35">
      <c r="A25" s="6"/>
      <c r="B25" s="19">
        <v>20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t="15" hidden="1" thickBot="1" x14ac:dyDescent="0.35">
      <c r="A26" s="6"/>
      <c r="B26" s="19">
        <v>21</v>
      </c>
      <c r="C26" s="20"/>
      <c r="D26" s="21"/>
      <c r="E26" s="21"/>
      <c r="F26" s="37"/>
      <c r="G26" s="37"/>
      <c r="H26" s="37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t="15" hidden="1" thickBot="1" x14ac:dyDescent="0.35">
      <c r="A27" s="6"/>
      <c r="B27" s="19">
        <v>22</v>
      </c>
      <c r="C27" s="20"/>
      <c r="D27" s="21"/>
      <c r="E27" s="21"/>
      <c r="F27" s="37"/>
      <c r="G27" s="37"/>
      <c r="H27" s="37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t="15" hidden="1" thickBot="1" x14ac:dyDescent="0.35">
      <c r="A28" s="6"/>
      <c r="B28" s="25">
        <v>11</v>
      </c>
      <c r="C28" s="20"/>
      <c r="D28" s="21"/>
      <c r="E28" s="21"/>
      <c r="F28" s="37"/>
      <c r="G28" s="37"/>
      <c r="H28" s="37"/>
      <c r="I28" s="22"/>
      <c r="J28" s="23">
        <f t="shared" si="1"/>
        <v>0</v>
      </c>
      <c r="K28" s="7"/>
    </row>
    <row r="29" spans="1:23" ht="15" hidden="1" thickBot="1" x14ac:dyDescent="0.35">
      <c r="A29" s="6"/>
      <c r="B29" s="25">
        <v>12</v>
      </c>
      <c r="C29" s="20"/>
      <c r="D29" s="21"/>
      <c r="E29" s="21"/>
      <c r="F29" s="37"/>
      <c r="G29" s="37"/>
      <c r="H29" s="37"/>
      <c r="I29" s="22"/>
      <c r="J29" s="23">
        <f t="shared" si="1"/>
        <v>0</v>
      </c>
      <c r="K29" s="7"/>
    </row>
    <row r="30" spans="1:23" ht="15" hidden="1" thickBot="1" x14ac:dyDescent="0.35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ht="15" hidden="1" thickBot="1" x14ac:dyDescent="0.35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hidden="1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83280</v>
      </c>
      <c r="K33" s="7"/>
      <c r="V33" s="5">
        <f>SUM(V6:V32)</f>
        <v>6</v>
      </c>
      <c r="W33" s="5">
        <f>SUM(W6:W32)</f>
        <v>0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00000000-0004-0000-3C00-000000000000}"/>
    <hyperlink ref="M1" location="MASTER!A1" display="Back" xr:uid="{00000000-0004-0000-3C00-000001000000}"/>
  </hyperlinks>
  <pageMargins left="0" right="0" top="0" bottom="0" header="0" footer="0"/>
  <pageSetup paperSize="9" orientation="portrait"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W34"/>
  <sheetViews>
    <sheetView workbookViewId="0">
      <selection activeCell="B4" sqref="B4:J4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45261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612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9</v>
      </c>
      <c r="O4" s="108">
        <f>V33</f>
        <v>8</v>
      </c>
      <c r="P4" s="108">
        <f>W33</f>
        <v>1</v>
      </c>
      <c r="Q4" s="110">
        <f>N4-O4-P4</f>
        <v>0</v>
      </c>
      <c r="R4" s="94">
        <f>O4/N4</f>
        <v>0.88888888888888884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45261</v>
      </c>
      <c r="D6" s="16" t="s">
        <v>18</v>
      </c>
      <c r="E6" s="16" t="s">
        <v>592</v>
      </c>
      <c r="F6" s="51">
        <v>190</v>
      </c>
      <c r="G6" s="51">
        <v>537</v>
      </c>
      <c r="H6" s="51">
        <f>537-190</f>
        <v>347</v>
      </c>
      <c r="I6" s="17">
        <v>100</v>
      </c>
      <c r="J6" s="18">
        <f>H6*I6</f>
        <v>34700</v>
      </c>
      <c r="K6" s="7"/>
      <c r="M6" s="88" t="s">
        <v>19</v>
      </c>
      <c r="N6" s="90">
        <f>SUM(N4:N5)</f>
        <v>9</v>
      </c>
      <c r="O6" s="90">
        <f>SUM(O4:O5)</f>
        <v>8</v>
      </c>
      <c r="P6" s="90">
        <f>SUM(P4:P5)</f>
        <v>1</v>
      </c>
      <c r="Q6" s="92">
        <f>SUM(Q4:Q5)</f>
        <v>0</v>
      </c>
      <c r="R6" s="94">
        <f t="shared" ref="R6" si="0">O6/N6</f>
        <v>0.88888888888888884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45265</v>
      </c>
      <c r="D7" s="21" t="s">
        <v>18</v>
      </c>
      <c r="E7" s="21" t="s">
        <v>593</v>
      </c>
      <c r="F7" s="37">
        <v>50</v>
      </c>
      <c r="G7" s="37">
        <v>61</v>
      </c>
      <c r="H7" s="37">
        <v>11</v>
      </c>
      <c r="I7" s="22">
        <v>300</v>
      </c>
      <c r="J7" s="23">
        <f t="shared" ref="J7:J32" si="1">H7*I7</f>
        <v>3300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45272</v>
      </c>
      <c r="D8" s="21" t="s">
        <v>18</v>
      </c>
      <c r="E8" s="21" t="s">
        <v>594</v>
      </c>
      <c r="F8" s="37">
        <v>170</v>
      </c>
      <c r="G8" s="37">
        <v>210</v>
      </c>
      <c r="H8" s="37">
        <f>210-170</f>
        <v>40</v>
      </c>
      <c r="I8" s="22">
        <v>100</v>
      </c>
      <c r="J8" s="23">
        <f t="shared" si="1"/>
        <v>4000</v>
      </c>
      <c r="K8" s="7"/>
      <c r="M8" s="67" t="s">
        <v>20</v>
      </c>
      <c r="N8" s="68"/>
      <c r="O8" s="69"/>
      <c r="P8" s="76">
        <f>R6</f>
        <v>0.88888888888888884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45274</v>
      </c>
      <c r="D9" s="21" t="s">
        <v>18</v>
      </c>
      <c r="E9" s="21" t="s">
        <v>595</v>
      </c>
      <c r="F9" s="37">
        <v>55</v>
      </c>
      <c r="G9" s="37">
        <v>65</v>
      </c>
      <c r="H9" s="37">
        <v>10</v>
      </c>
      <c r="I9" s="22">
        <v>300</v>
      </c>
      <c r="J9" s="23">
        <f t="shared" si="1"/>
        <v>3000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45275</v>
      </c>
      <c r="D10" s="21" t="s">
        <v>18</v>
      </c>
      <c r="E10" s="21" t="s">
        <v>596</v>
      </c>
      <c r="F10" s="37">
        <v>100</v>
      </c>
      <c r="G10" s="37">
        <v>117.4</v>
      </c>
      <c r="H10" s="37">
        <v>17.399999999999999</v>
      </c>
      <c r="I10" s="22">
        <v>300</v>
      </c>
      <c r="J10" s="23">
        <f t="shared" si="1"/>
        <v>5220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45279</v>
      </c>
      <c r="D11" s="21" t="s">
        <v>18</v>
      </c>
      <c r="E11" s="21" t="s">
        <v>597</v>
      </c>
      <c r="F11" s="37">
        <v>200</v>
      </c>
      <c r="G11" s="37">
        <v>265</v>
      </c>
      <c r="H11" s="37">
        <v>65</v>
      </c>
      <c r="I11" s="22">
        <v>100</v>
      </c>
      <c r="J11" s="23">
        <f t="shared" si="1"/>
        <v>6500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45279</v>
      </c>
      <c r="D12" s="21" t="s">
        <v>18</v>
      </c>
      <c r="E12" s="21" t="s">
        <v>598</v>
      </c>
      <c r="F12" s="37">
        <v>95</v>
      </c>
      <c r="G12" s="37">
        <v>115</v>
      </c>
      <c r="H12" s="37">
        <f>115-95</f>
        <v>20</v>
      </c>
      <c r="I12" s="22">
        <v>125</v>
      </c>
      <c r="J12" s="23">
        <f t="shared" si="1"/>
        <v>2500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45280</v>
      </c>
      <c r="D13" s="21" t="s">
        <v>18</v>
      </c>
      <c r="E13" s="21" t="s">
        <v>599</v>
      </c>
      <c r="F13" s="37">
        <v>14</v>
      </c>
      <c r="G13" s="37">
        <v>4</v>
      </c>
      <c r="H13" s="37">
        <v>-10</v>
      </c>
      <c r="I13" s="22">
        <v>1300</v>
      </c>
      <c r="J13" s="23">
        <f t="shared" si="1"/>
        <v>-13000</v>
      </c>
      <c r="K13" s="7"/>
      <c r="V13" s="5">
        <f t="shared" si="2"/>
        <v>0</v>
      </c>
      <c r="W13" s="5">
        <f t="shared" si="3"/>
        <v>1</v>
      </c>
    </row>
    <row r="14" spans="1:23" x14ac:dyDescent="0.3">
      <c r="A14" s="6"/>
      <c r="B14" s="19">
        <v>9</v>
      </c>
      <c r="C14" s="20">
        <v>45289</v>
      </c>
      <c r="D14" s="21" t="s">
        <v>18</v>
      </c>
      <c r="E14" s="21" t="s">
        <v>594</v>
      </c>
      <c r="F14" s="37">
        <v>240</v>
      </c>
      <c r="G14" s="37">
        <v>349.85</v>
      </c>
      <c r="H14" s="37">
        <f>349.85-240</f>
        <v>109.85000000000002</v>
      </c>
      <c r="I14" s="22">
        <v>100</v>
      </c>
      <c r="J14" s="23">
        <f t="shared" si="1"/>
        <v>10985.000000000002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t="15" thickBot="1" x14ac:dyDescent="0.35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t="15" hidden="1" thickBot="1" x14ac:dyDescent="0.35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t="15" hidden="1" thickBot="1" x14ac:dyDescent="0.35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t="15" hidden="1" thickBot="1" x14ac:dyDescent="0.35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t="15" hidden="1" thickBot="1" x14ac:dyDescent="0.35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t="15" hidden="1" thickBot="1" x14ac:dyDescent="0.35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t="15" hidden="1" thickBot="1" x14ac:dyDescent="0.35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t="15" hidden="1" thickBot="1" x14ac:dyDescent="0.35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t="15" hidden="1" thickBot="1" x14ac:dyDescent="0.35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t="15" hidden="1" thickBot="1" x14ac:dyDescent="0.35">
      <c r="A25" s="6"/>
      <c r="B25" s="19">
        <v>20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t="15" hidden="1" thickBot="1" x14ac:dyDescent="0.35">
      <c r="A26" s="6"/>
      <c r="B26" s="19">
        <v>21</v>
      </c>
      <c r="C26" s="20"/>
      <c r="D26" s="21"/>
      <c r="E26" s="21"/>
      <c r="F26" s="37"/>
      <c r="G26" s="37"/>
      <c r="H26" s="37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t="15" hidden="1" thickBot="1" x14ac:dyDescent="0.35">
      <c r="A27" s="6"/>
      <c r="B27" s="19">
        <v>22</v>
      </c>
      <c r="C27" s="20"/>
      <c r="D27" s="21"/>
      <c r="E27" s="21"/>
      <c r="F27" s="37"/>
      <c r="G27" s="37"/>
      <c r="H27" s="37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t="15" hidden="1" thickBot="1" x14ac:dyDescent="0.35">
      <c r="A28" s="6"/>
      <c r="B28" s="25">
        <v>11</v>
      </c>
      <c r="C28" s="20"/>
      <c r="D28" s="21"/>
      <c r="E28" s="21"/>
      <c r="F28" s="37"/>
      <c r="G28" s="37"/>
      <c r="H28" s="37"/>
      <c r="I28" s="22"/>
      <c r="J28" s="23">
        <f t="shared" si="1"/>
        <v>0</v>
      </c>
      <c r="K28" s="7"/>
    </row>
    <row r="29" spans="1:23" ht="15" hidden="1" thickBot="1" x14ac:dyDescent="0.35">
      <c r="A29" s="6"/>
      <c r="B29" s="25">
        <v>12</v>
      </c>
      <c r="C29" s="20"/>
      <c r="D29" s="21"/>
      <c r="E29" s="21"/>
      <c r="F29" s="37"/>
      <c r="G29" s="37"/>
      <c r="H29" s="37"/>
      <c r="I29" s="22"/>
      <c r="J29" s="23">
        <f t="shared" si="1"/>
        <v>0</v>
      </c>
      <c r="K29" s="7"/>
    </row>
    <row r="30" spans="1:23" ht="15" hidden="1" thickBot="1" x14ac:dyDescent="0.35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ht="15" hidden="1" thickBot="1" x14ac:dyDescent="0.35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hidden="1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57205</v>
      </c>
      <c r="K33" s="7"/>
      <c r="V33" s="5">
        <f>SUM(V6:V32)</f>
        <v>8</v>
      </c>
      <c r="W33" s="5">
        <f>SUM(W6:W32)</f>
        <v>1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00000000-0004-0000-3D00-000000000000}"/>
    <hyperlink ref="M1" location="MASTER!A1" display="Back" xr:uid="{00000000-0004-0000-3D00-000001000000}"/>
  </hyperlinks>
  <pageMargins left="0" right="0" top="0" bottom="0" header="0" footer="0"/>
  <pageSetup paperSize="9" orientation="portrait"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W34"/>
  <sheetViews>
    <sheetView workbookViewId="0"/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45292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612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10</v>
      </c>
      <c r="O4" s="108">
        <f>V33</f>
        <v>10</v>
      </c>
      <c r="P4" s="108">
        <f>W33</f>
        <v>0</v>
      </c>
      <c r="Q4" s="110">
        <f>N4-O4-P4</f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45295</v>
      </c>
      <c r="D6" s="16" t="s">
        <v>18</v>
      </c>
      <c r="E6" s="16" t="s">
        <v>600</v>
      </c>
      <c r="F6" s="51">
        <v>210</v>
      </c>
      <c r="G6" s="51">
        <v>245</v>
      </c>
      <c r="H6" s="51">
        <f>245-210</f>
        <v>35</v>
      </c>
      <c r="I6" s="17">
        <v>100</v>
      </c>
      <c r="J6" s="18">
        <f>H6*I6</f>
        <v>3500</v>
      </c>
      <c r="K6" s="7"/>
      <c r="M6" s="88" t="s">
        <v>19</v>
      </c>
      <c r="N6" s="90">
        <f>SUM(N4:N5)</f>
        <v>10</v>
      </c>
      <c r="O6" s="90">
        <f>SUM(O4:O5)</f>
        <v>10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45299</v>
      </c>
      <c r="D7" s="21" t="s">
        <v>18</v>
      </c>
      <c r="E7" s="21" t="s">
        <v>597</v>
      </c>
      <c r="F7" s="37">
        <v>200</v>
      </c>
      <c r="G7" s="37">
        <v>248</v>
      </c>
      <c r="H7" s="37">
        <v>48</v>
      </c>
      <c r="I7" s="22">
        <v>100</v>
      </c>
      <c r="J7" s="23">
        <f t="shared" ref="J7:J32" si="1">H7*I7</f>
        <v>4800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45300</v>
      </c>
      <c r="D8" s="21" t="s">
        <v>18</v>
      </c>
      <c r="E8" s="21" t="s">
        <v>597</v>
      </c>
      <c r="F8" s="37">
        <v>210</v>
      </c>
      <c r="G8" s="37">
        <v>268</v>
      </c>
      <c r="H8" s="37">
        <f>268-210</f>
        <v>58</v>
      </c>
      <c r="I8" s="22">
        <v>100</v>
      </c>
      <c r="J8" s="23">
        <f t="shared" si="1"/>
        <v>5800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45301</v>
      </c>
      <c r="D9" s="21" t="s">
        <v>18</v>
      </c>
      <c r="E9" s="21" t="s">
        <v>601</v>
      </c>
      <c r="F9" s="37">
        <v>15</v>
      </c>
      <c r="G9" s="37">
        <v>20.5</v>
      </c>
      <c r="H9" s="37">
        <f>20.5-15</f>
        <v>5.5</v>
      </c>
      <c r="I9" s="22">
        <v>625</v>
      </c>
      <c r="J9" s="23">
        <f t="shared" si="1"/>
        <v>3437.5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45301</v>
      </c>
      <c r="D10" s="21" t="s">
        <v>18</v>
      </c>
      <c r="E10" s="21" t="s">
        <v>597</v>
      </c>
      <c r="F10" s="37">
        <v>170</v>
      </c>
      <c r="G10" s="37">
        <v>335</v>
      </c>
      <c r="H10" s="37">
        <f>335-170</f>
        <v>165</v>
      </c>
      <c r="I10" s="22">
        <v>100</v>
      </c>
      <c r="J10" s="23">
        <f t="shared" si="1"/>
        <v>16500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45308</v>
      </c>
      <c r="D11" s="21" t="s">
        <v>18</v>
      </c>
      <c r="E11" s="21" t="s">
        <v>602</v>
      </c>
      <c r="F11" s="37">
        <v>190</v>
      </c>
      <c r="G11" s="37">
        <v>214</v>
      </c>
      <c r="H11" s="37">
        <f>214-190</f>
        <v>24</v>
      </c>
      <c r="I11" s="22">
        <v>100</v>
      </c>
      <c r="J11" s="23">
        <f t="shared" si="1"/>
        <v>2400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45311</v>
      </c>
      <c r="D12" s="21" t="s">
        <v>18</v>
      </c>
      <c r="E12" s="21" t="s">
        <v>603</v>
      </c>
      <c r="F12" s="37">
        <v>400</v>
      </c>
      <c r="G12" s="37">
        <v>1236</v>
      </c>
      <c r="H12" s="37">
        <f>1236-400</f>
        <v>836</v>
      </c>
      <c r="I12" s="22">
        <v>25</v>
      </c>
      <c r="J12" s="23">
        <f t="shared" si="1"/>
        <v>20900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45321</v>
      </c>
      <c r="D13" s="21" t="s">
        <v>18</v>
      </c>
      <c r="E13" s="21" t="s">
        <v>604</v>
      </c>
      <c r="F13" s="37">
        <v>3.2</v>
      </c>
      <c r="G13" s="37">
        <v>11</v>
      </c>
      <c r="H13" s="37">
        <f>11-3.2</f>
        <v>7.8</v>
      </c>
      <c r="I13" s="22">
        <v>8000</v>
      </c>
      <c r="J13" s="23">
        <f t="shared" si="1"/>
        <v>62400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45322</v>
      </c>
      <c r="D14" s="21" t="s">
        <v>18</v>
      </c>
      <c r="E14" s="21" t="s">
        <v>605</v>
      </c>
      <c r="F14" s="37">
        <v>190</v>
      </c>
      <c r="G14" s="37">
        <v>216</v>
      </c>
      <c r="H14" s="37">
        <f>216-190</f>
        <v>26</v>
      </c>
      <c r="I14" s="22">
        <v>125</v>
      </c>
      <c r="J14" s="23">
        <f t="shared" si="1"/>
        <v>3250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45322</v>
      </c>
      <c r="D15" s="21" t="s">
        <v>18</v>
      </c>
      <c r="E15" s="21" t="s">
        <v>606</v>
      </c>
      <c r="F15" s="37">
        <v>65</v>
      </c>
      <c r="G15" s="37">
        <v>71</v>
      </c>
      <c r="H15" s="37">
        <f>71-65</f>
        <v>6</v>
      </c>
      <c r="I15" s="22">
        <v>250</v>
      </c>
      <c r="J15" s="23">
        <f t="shared" si="1"/>
        <v>1500</v>
      </c>
      <c r="K15" s="7"/>
      <c r="V15" s="5">
        <f>IF($J15&gt;0,1,0)</f>
        <v>1</v>
      </c>
      <c r="W15" s="5">
        <f>IF($J15&lt;0,1,0)</f>
        <v>0</v>
      </c>
    </row>
    <row r="16" spans="1:23" ht="15" thickBot="1" x14ac:dyDescent="0.35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t="15" hidden="1" thickBot="1" x14ac:dyDescent="0.35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t="15" hidden="1" thickBot="1" x14ac:dyDescent="0.35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t="15" hidden="1" thickBot="1" x14ac:dyDescent="0.35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t="15" hidden="1" thickBot="1" x14ac:dyDescent="0.35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t="15" hidden="1" thickBot="1" x14ac:dyDescent="0.35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t="15" hidden="1" thickBot="1" x14ac:dyDescent="0.35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t="15" hidden="1" thickBot="1" x14ac:dyDescent="0.35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t="15" hidden="1" thickBot="1" x14ac:dyDescent="0.35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t="15" hidden="1" thickBot="1" x14ac:dyDescent="0.35">
      <c r="A25" s="6"/>
      <c r="B25" s="19">
        <v>20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t="15" hidden="1" thickBot="1" x14ac:dyDescent="0.35">
      <c r="A26" s="6"/>
      <c r="B26" s="19">
        <v>21</v>
      </c>
      <c r="C26" s="20"/>
      <c r="D26" s="21"/>
      <c r="E26" s="21"/>
      <c r="F26" s="37"/>
      <c r="G26" s="37"/>
      <c r="H26" s="37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t="15" hidden="1" thickBot="1" x14ac:dyDescent="0.35">
      <c r="A27" s="6"/>
      <c r="B27" s="19">
        <v>22</v>
      </c>
      <c r="C27" s="20"/>
      <c r="D27" s="21"/>
      <c r="E27" s="21"/>
      <c r="F27" s="37"/>
      <c r="G27" s="37"/>
      <c r="H27" s="37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t="15" hidden="1" thickBot="1" x14ac:dyDescent="0.35">
      <c r="A28" s="6"/>
      <c r="B28" s="25">
        <v>11</v>
      </c>
      <c r="C28" s="20"/>
      <c r="D28" s="21"/>
      <c r="E28" s="21"/>
      <c r="F28" s="37"/>
      <c r="G28" s="37"/>
      <c r="H28" s="37"/>
      <c r="I28" s="22"/>
      <c r="J28" s="23">
        <f t="shared" si="1"/>
        <v>0</v>
      </c>
      <c r="K28" s="7"/>
    </row>
    <row r="29" spans="1:23" ht="15" hidden="1" thickBot="1" x14ac:dyDescent="0.35">
      <c r="A29" s="6"/>
      <c r="B29" s="25">
        <v>12</v>
      </c>
      <c r="C29" s="20"/>
      <c r="D29" s="21"/>
      <c r="E29" s="21"/>
      <c r="F29" s="37"/>
      <c r="G29" s="37"/>
      <c r="H29" s="37"/>
      <c r="I29" s="22"/>
      <c r="J29" s="23">
        <f t="shared" si="1"/>
        <v>0</v>
      </c>
      <c r="K29" s="7"/>
    </row>
    <row r="30" spans="1:23" ht="15" hidden="1" thickBot="1" x14ac:dyDescent="0.35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ht="15" hidden="1" thickBot="1" x14ac:dyDescent="0.35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hidden="1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124487.5</v>
      </c>
      <c r="K33" s="7"/>
      <c r="V33" s="5">
        <f>SUM(V6:V32)</f>
        <v>10</v>
      </c>
      <c r="W33" s="5">
        <f>SUM(W6:W32)</f>
        <v>0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00000000-0004-0000-3E00-000000000000}"/>
    <hyperlink ref="M1" location="MASTER!A1" display="Back" xr:uid="{00000000-0004-0000-3E00-000001000000}"/>
  </hyperlinks>
  <pageMargins left="0" right="0" top="0" bottom="0" header="0" footer="0"/>
  <pageSetup paperSize="9" orientation="portrait"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W34"/>
  <sheetViews>
    <sheetView workbookViewId="0">
      <selection activeCell="F37" sqref="F37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45323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612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11</v>
      </c>
      <c r="O4" s="108">
        <f>V33</f>
        <v>11</v>
      </c>
      <c r="P4" s="108">
        <f>W33</f>
        <v>0</v>
      </c>
      <c r="Q4" s="110">
        <f>N4-O4-P4</f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45323</v>
      </c>
      <c r="D6" s="16" t="s">
        <v>18</v>
      </c>
      <c r="E6" s="16" t="s">
        <v>607</v>
      </c>
      <c r="F6" s="51">
        <v>220</v>
      </c>
      <c r="G6" s="51">
        <v>358</v>
      </c>
      <c r="H6" s="51">
        <f>358-220</f>
        <v>138</v>
      </c>
      <c r="I6" s="17">
        <v>100</v>
      </c>
      <c r="J6" s="18">
        <f>H6*I6</f>
        <v>13800</v>
      </c>
      <c r="K6" s="7"/>
      <c r="M6" s="88" t="s">
        <v>19</v>
      </c>
      <c r="N6" s="90">
        <f>SUM(N4:N5)</f>
        <v>11</v>
      </c>
      <c r="O6" s="90">
        <f>SUM(O4:O5)</f>
        <v>11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45327</v>
      </c>
      <c r="D7" s="21" t="s">
        <v>18</v>
      </c>
      <c r="E7" s="21" t="s">
        <v>602</v>
      </c>
      <c r="F7" s="37">
        <v>210</v>
      </c>
      <c r="G7" s="37">
        <v>280</v>
      </c>
      <c r="H7" s="37">
        <v>70</v>
      </c>
      <c r="I7" s="22">
        <v>100</v>
      </c>
      <c r="J7" s="23">
        <f t="shared" ref="J7:J32" si="1">H7*I7</f>
        <v>7000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45328</v>
      </c>
      <c r="D8" s="21" t="s">
        <v>18</v>
      </c>
      <c r="E8" s="21" t="s">
        <v>608</v>
      </c>
      <c r="F8" s="37">
        <v>200</v>
      </c>
      <c r="G8" s="37">
        <v>225</v>
      </c>
      <c r="H8" s="37">
        <v>25</v>
      </c>
      <c r="I8" s="22">
        <v>100</v>
      </c>
      <c r="J8" s="23">
        <f t="shared" si="1"/>
        <v>2500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45329</v>
      </c>
      <c r="D9" s="21" t="s">
        <v>18</v>
      </c>
      <c r="E9" s="21" t="s">
        <v>609</v>
      </c>
      <c r="F9" s="37">
        <v>3</v>
      </c>
      <c r="G9" s="37">
        <v>3.75</v>
      </c>
      <c r="H9" s="37">
        <v>0.75</v>
      </c>
      <c r="I9" s="22">
        <v>11250</v>
      </c>
      <c r="J9" s="23">
        <f t="shared" si="1"/>
        <v>8437.5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45336</v>
      </c>
      <c r="D10" s="21" t="s">
        <v>18</v>
      </c>
      <c r="E10" s="21" t="s">
        <v>610</v>
      </c>
      <c r="F10" s="37">
        <v>70</v>
      </c>
      <c r="G10" s="37">
        <v>181</v>
      </c>
      <c r="H10" s="37">
        <f>181-70</f>
        <v>111</v>
      </c>
      <c r="I10" s="22">
        <v>300</v>
      </c>
      <c r="J10" s="23">
        <f t="shared" si="1"/>
        <v>33300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45337</v>
      </c>
      <c r="D11" s="21" t="s">
        <v>18</v>
      </c>
      <c r="E11" s="21" t="s">
        <v>611</v>
      </c>
      <c r="F11" s="37">
        <v>130</v>
      </c>
      <c r="G11" s="37">
        <v>240</v>
      </c>
      <c r="H11" s="37">
        <v>110</v>
      </c>
      <c r="I11" s="22">
        <v>100</v>
      </c>
      <c r="J11" s="23">
        <f t="shared" si="1"/>
        <v>11000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45338</v>
      </c>
      <c r="D12" s="21" t="s">
        <v>18</v>
      </c>
      <c r="E12" s="21" t="s">
        <v>613</v>
      </c>
      <c r="F12" s="37">
        <v>30</v>
      </c>
      <c r="G12" s="37">
        <v>38</v>
      </c>
      <c r="H12" s="37">
        <v>8</v>
      </c>
      <c r="I12" s="22">
        <v>1100</v>
      </c>
      <c r="J12" s="23">
        <f t="shared" si="1"/>
        <v>8800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45341</v>
      </c>
      <c r="D13" s="21" t="s">
        <v>18</v>
      </c>
      <c r="E13" s="21" t="s">
        <v>614</v>
      </c>
      <c r="F13" s="37">
        <v>160</v>
      </c>
      <c r="G13" s="37">
        <v>177</v>
      </c>
      <c r="H13" s="37">
        <v>17</v>
      </c>
      <c r="I13" s="22">
        <v>100</v>
      </c>
      <c r="J13" s="23">
        <f t="shared" si="1"/>
        <v>1700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45341</v>
      </c>
      <c r="D14" s="21" t="s">
        <v>18</v>
      </c>
      <c r="E14" s="21" t="s">
        <v>615</v>
      </c>
      <c r="F14" s="37">
        <v>2</v>
      </c>
      <c r="G14" s="37">
        <v>2.75</v>
      </c>
      <c r="H14" s="37">
        <v>0.75</v>
      </c>
      <c r="I14" s="22">
        <v>11250</v>
      </c>
      <c r="J14" s="23">
        <f t="shared" si="1"/>
        <v>8437.5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45342</v>
      </c>
      <c r="D15" s="21" t="s">
        <v>18</v>
      </c>
      <c r="E15" s="21" t="s">
        <v>616</v>
      </c>
      <c r="F15" s="37">
        <v>80</v>
      </c>
      <c r="G15" s="37">
        <v>86.85</v>
      </c>
      <c r="H15" s="37">
        <v>6.85</v>
      </c>
      <c r="I15" s="22">
        <v>300</v>
      </c>
      <c r="J15" s="23">
        <f t="shared" si="1"/>
        <v>2055</v>
      </c>
      <c r="K15" s="7"/>
      <c r="V15" s="5">
        <f>IF($J15&gt;0,1,0)</f>
        <v>1</v>
      </c>
      <c r="W15" s="5">
        <f>IF($J15&lt;0,1,0)</f>
        <v>0</v>
      </c>
    </row>
    <row r="16" spans="1:23" ht="15" thickBot="1" x14ac:dyDescent="0.35">
      <c r="A16" s="6"/>
      <c r="B16" s="19">
        <v>11</v>
      </c>
      <c r="C16" s="20">
        <v>45343</v>
      </c>
      <c r="D16" s="21" t="s">
        <v>18</v>
      </c>
      <c r="E16" s="21" t="s">
        <v>617</v>
      </c>
      <c r="F16" s="37">
        <v>160</v>
      </c>
      <c r="G16" s="37">
        <v>204</v>
      </c>
      <c r="H16" s="37">
        <f>204-160</f>
        <v>44</v>
      </c>
      <c r="I16" s="22">
        <v>100</v>
      </c>
      <c r="J16" s="23">
        <f t="shared" si="1"/>
        <v>4400</v>
      </c>
      <c r="K16" s="7"/>
      <c r="V16" s="5">
        <f>IF($J16&gt;0,1,0)</f>
        <v>1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37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37"/>
      <c r="G27" s="37"/>
      <c r="H27" s="37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idden="1" x14ac:dyDescent="0.3">
      <c r="A28" s="6"/>
      <c r="B28" s="25">
        <v>11</v>
      </c>
      <c r="C28" s="20"/>
      <c r="D28" s="21"/>
      <c r="E28" s="21"/>
      <c r="F28" s="37"/>
      <c r="G28" s="37"/>
      <c r="H28" s="37"/>
      <c r="I28" s="22"/>
      <c r="J28" s="23">
        <f t="shared" si="1"/>
        <v>0</v>
      </c>
      <c r="K28" s="7"/>
    </row>
    <row r="29" spans="1:23" hidden="1" x14ac:dyDescent="0.3">
      <c r="A29" s="6"/>
      <c r="B29" s="25">
        <v>12</v>
      </c>
      <c r="C29" s="20"/>
      <c r="D29" s="21"/>
      <c r="E29" s="21"/>
      <c r="F29" s="37"/>
      <c r="G29" s="37"/>
      <c r="H29" s="37"/>
      <c r="I29" s="22"/>
      <c r="J29" s="23">
        <f t="shared" si="1"/>
        <v>0</v>
      </c>
      <c r="K29" s="7"/>
    </row>
    <row r="30" spans="1:23" hidden="1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hidden="1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hidden="1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101430</v>
      </c>
      <c r="K33" s="7"/>
      <c r="V33" s="5">
        <f>SUM(V6:V32)</f>
        <v>11</v>
      </c>
      <c r="W33" s="5">
        <f>SUM(W6:W32)</f>
        <v>0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00000000-0004-0000-3F00-000000000000}"/>
    <hyperlink ref="M1" location="MASTER!A1" display="Back" xr:uid="{00000000-0004-0000-3F00-000001000000}"/>
  </hyperlinks>
  <pageMargins left="0" right="0" top="0" bottom="0" header="0" footer="0"/>
  <pageSetup paperSize="9" orientation="portrait"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5C806-60D6-4452-997A-6D26252BAA30}">
  <dimension ref="A1:W34"/>
  <sheetViews>
    <sheetView workbookViewId="0">
      <selection activeCell="O16" sqref="O16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45352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612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6</v>
      </c>
      <c r="O4" s="108">
        <f>V33</f>
        <v>6</v>
      </c>
      <c r="P4" s="108">
        <f>W33</f>
        <v>0</v>
      </c>
      <c r="Q4" s="110">
        <f>N4-O4-P4</f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45352</v>
      </c>
      <c r="D6" s="16" t="s">
        <v>18</v>
      </c>
      <c r="E6" s="16" t="s">
        <v>618</v>
      </c>
      <c r="F6" s="51">
        <v>230</v>
      </c>
      <c r="G6" s="51">
        <v>414</v>
      </c>
      <c r="H6" s="51">
        <f>414-230</f>
        <v>184</v>
      </c>
      <c r="I6" s="17">
        <v>100</v>
      </c>
      <c r="J6" s="18">
        <f>H6*I6</f>
        <v>18400</v>
      </c>
      <c r="K6" s="7"/>
      <c r="M6" s="88" t="s">
        <v>19</v>
      </c>
      <c r="N6" s="90">
        <f>SUM(N4:N5)</f>
        <v>6</v>
      </c>
      <c r="O6" s="90">
        <f>SUM(O4:O5)</f>
        <v>6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45355</v>
      </c>
      <c r="D7" s="21" t="s">
        <v>18</v>
      </c>
      <c r="E7" s="21" t="s">
        <v>619</v>
      </c>
      <c r="F7" s="37">
        <v>250</v>
      </c>
      <c r="G7" s="37">
        <v>284.95</v>
      </c>
      <c r="H7" s="37">
        <f>284.95-250</f>
        <v>34.949999999999989</v>
      </c>
      <c r="I7" s="22">
        <v>100</v>
      </c>
      <c r="J7" s="23">
        <f t="shared" ref="J7:J32" si="1">H7*I7</f>
        <v>3494.9999999999991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45356</v>
      </c>
      <c r="D8" s="21" t="s">
        <v>18</v>
      </c>
      <c r="E8" s="21" t="s">
        <v>619</v>
      </c>
      <c r="F8" s="37">
        <v>250</v>
      </c>
      <c r="G8" s="37">
        <v>332</v>
      </c>
      <c r="H8" s="37">
        <f>332-250</f>
        <v>82</v>
      </c>
      <c r="I8" s="22">
        <v>100</v>
      </c>
      <c r="J8" s="23">
        <f t="shared" si="1"/>
        <v>8200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45370</v>
      </c>
      <c r="D9" s="21" t="s">
        <v>18</v>
      </c>
      <c r="E9" s="21" t="s">
        <v>620</v>
      </c>
      <c r="F9" s="37">
        <v>150</v>
      </c>
      <c r="G9" s="37">
        <v>199</v>
      </c>
      <c r="H9" s="37">
        <f>199-150</f>
        <v>49</v>
      </c>
      <c r="I9" s="22">
        <v>100</v>
      </c>
      <c r="J9" s="23">
        <f t="shared" si="1"/>
        <v>4900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45373</v>
      </c>
      <c r="D10" s="21" t="s">
        <v>18</v>
      </c>
      <c r="E10" s="21" t="s">
        <v>621</v>
      </c>
      <c r="F10" s="37">
        <v>160</v>
      </c>
      <c r="G10" s="37">
        <v>210.75</v>
      </c>
      <c r="H10" s="37">
        <f>210.75-160</f>
        <v>50.75</v>
      </c>
      <c r="I10" s="22">
        <v>100</v>
      </c>
      <c r="J10" s="23">
        <f t="shared" si="1"/>
        <v>5075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45367</v>
      </c>
      <c r="D11" s="21" t="s">
        <v>18</v>
      </c>
      <c r="E11" s="21" t="s">
        <v>622</v>
      </c>
      <c r="F11" s="37">
        <v>130</v>
      </c>
      <c r="G11" s="37">
        <v>362</v>
      </c>
      <c r="H11" s="37">
        <f>362-130</f>
        <v>232</v>
      </c>
      <c r="I11" s="22">
        <v>100</v>
      </c>
      <c r="J11" s="23">
        <f t="shared" si="1"/>
        <v>23200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/>
      <c r="D12" s="21"/>
      <c r="E12" s="21"/>
      <c r="F12" s="37"/>
      <c r="G12" s="37"/>
      <c r="H12" s="37"/>
      <c r="I12" s="22"/>
      <c r="J12" s="23">
        <f t="shared" si="1"/>
        <v>0</v>
      </c>
      <c r="K12" s="7"/>
      <c r="V12" s="5">
        <f t="shared" si="2"/>
        <v>0</v>
      </c>
      <c r="W12" s="5">
        <f t="shared" si="3"/>
        <v>0</v>
      </c>
    </row>
    <row r="13" spans="1:23" x14ac:dyDescent="0.3">
      <c r="A13" s="6"/>
      <c r="B13" s="19">
        <v>8</v>
      </c>
      <c r="C13" s="20"/>
      <c r="D13" s="21"/>
      <c r="E13" s="21"/>
      <c r="F13" s="37"/>
      <c r="G13" s="37"/>
      <c r="H13" s="37"/>
      <c r="I13" s="22"/>
      <c r="J13" s="23">
        <f t="shared" si="1"/>
        <v>0</v>
      </c>
      <c r="K13" s="7"/>
      <c r="V13" s="5">
        <f t="shared" si="2"/>
        <v>0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ht="15" thickBot="1" x14ac:dyDescent="0.35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ht="15" hidden="1" thickBot="1" x14ac:dyDescent="0.35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t="15" hidden="1" thickBot="1" x14ac:dyDescent="0.35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t="15" hidden="1" thickBot="1" x14ac:dyDescent="0.35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t="15" hidden="1" thickBot="1" x14ac:dyDescent="0.35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t="15" hidden="1" thickBot="1" x14ac:dyDescent="0.35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t="15" hidden="1" thickBot="1" x14ac:dyDescent="0.35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t="15" hidden="1" thickBot="1" x14ac:dyDescent="0.35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t="15" hidden="1" thickBot="1" x14ac:dyDescent="0.35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t="15" hidden="1" thickBot="1" x14ac:dyDescent="0.35">
      <c r="A25" s="6"/>
      <c r="B25" s="19">
        <v>20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t="15" hidden="1" thickBot="1" x14ac:dyDescent="0.35">
      <c r="A26" s="6"/>
      <c r="B26" s="19">
        <v>21</v>
      </c>
      <c r="C26" s="20"/>
      <c r="D26" s="21"/>
      <c r="E26" s="21"/>
      <c r="F26" s="37"/>
      <c r="G26" s="37"/>
      <c r="H26" s="37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t="15" hidden="1" thickBot="1" x14ac:dyDescent="0.35">
      <c r="A27" s="6"/>
      <c r="B27" s="19">
        <v>22</v>
      </c>
      <c r="C27" s="20"/>
      <c r="D27" s="21"/>
      <c r="E27" s="21"/>
      <c r="F27" s="37"/>
      <c r="G27" s="37"/>
      <c r="H27" s="37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t="15" hidden="1" thickBot="1" x14ac:dyDescent="0.35">
      <c r="A28" s="6"/>
      <c r="B28" s="25">
        <v>11</v>
      </c>
      <c r="C28" s="20"/>
      <c r="D28" s="21"/>
      <c r="E28" s="21"/>
      <c r="F28" s="37"/>
      <c r="G28" s="37"/>
      <c r="H28" s="37"/>
      <c r="I28" s="22"/>
      <c r="J28" s="23">
        <f t="shared" si="1"/>
        <v>0</v>
      </c>
      <c r="K28" s="7"/>
    </row>
    <row r="29" spans="1:23" ht="15" hidden="1" thickBot="1" x14ac:dyDescent="0.35">
      <c r="A29" s="6"/>
      <c r="B29" s="25">
        <v>12</v>
      </c>
      <c r="C29" s="20"/>
      <c r="D29" s="21"/>
      <c r="E29" s="21"/>
      <c r="F29" s="37"/>
      <c r="G29" s="37"/>
      <c r="H29" s="37"/>
      <c r="I29" s="22"/>
      <c r="J29" s="23">
        <f t="shared" si="1"/>
        <v>0</v>
      </c>
      <c r="K29" s="7"/>
    </row>
    <row r="30" spans="1:23" ht="15" hidden="1" thickBot="1" x14ac:dyDescent="0.35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ht="15" hidden="1" thickBot="1" x14ac:dyDescent="0.35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hidden="1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63270</v>
      </c>
      <c r="K33" s="7"/>
      <c r="V33" s="5">
        <f>SUM(V6:V32)</f>
        <v>6</v>
      </c>
      <c r="W33" s="5">
        <f>SUM(W6:W32)</f>
        <v>0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3:H33"/>
    <mergeCell ref="M6:M7"/>
    <mergeCell ref="N6:N7"/>
    <mergeCell ref="O6:O7"/>
    <mergeCell ref="P6:P7"/>
    <mergeCell ref="Q6:Q7"/>
    <mergeCell ref="R6:R7"/>
  </mergeCells>
  <hyperlinks>
    <hyperlink ref="B33" r:id="rId1" xr:uid="{4F278227-A93E-46B0-9EFA-A2823DDDB83C}"/>
    <hyperlink ref="M1" location="MASTER!A1" display="Back" xr:uid="{F75EB198-DDA5-4ED5-90B4-C3EC636FD197}"/>
  </hyperlinks>
  <pageMargins left="0" right="0" top="0" bottom="0" header="0" footer="0"/>
  <pageSetup paperSize="9" orientation="portrait"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925EA-EAA7-4191-AD17-1C125D1ACF55}">
  <dimension ref="A1:W34"/>
  <sheetViews>
    <sheetView workbookViewId="0">
      <selection activeCell="M16" sqref="M16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45383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612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11</v>
      </c>
      <c r="O4" s="108">
        <f>V33</f>
        <v>11</v>
      </c>
      <c r="P4" s="108">
        <f>W33</f>
        <v>0</v>
      </c>
      <c r="Q4" s="110">
        <f>N4-O4-P4</f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45384</v>
      </c>
      <c r="D6" s="16" t="s">
        <v>18</v>
      </c>
      <c r="E6" s="16" t="s">
        <v>623</v>
      </c>
      <c r="F6" s="51">
        <v>250</v>
      </c>
      <c r="G6" s="51">
        <v>368</v>
      </c>
      <c r="H6" s="51">
        <f>368-250</f>
        <v>118</v>
      </c>
      <c r="I6" s="17">
        <v>100</v>
      </c>
      <c r="J6" s="18">
        <f>H6*I6</f>
        <v>11800</v>
      </c>
      <c r="K6" s="7"/>
      <c r="M6" s="88" t="s">
        <v>19</v>
      </c>
      <c r="N6" s="90">
        <f>SUM(N4:N5)</f>
        <v>11</v>
      </c>
      <c r="O6" s="90">
        <f>SUM(O4:O5)</f>
        <v>11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45386</v>
      </c>
      <c r="D7" s="21" t="s">
        <v>18</v>
      </c>
      <c r="E7" s="21" t="s">
        <v>624</v>
      </c>
      <c r="F7" s="37">
        <v>550</v>
      </c>
      <c r="G7" s="37">
        <v>637</v>
      </c>
      <c r="H7" s="37">
        <f>637-550</f>
        <v>87</v>
      </c>
      <c r="I7" s="22">
        <v>40</v>
      </c>
      <c r="J7" s="23">
        <f t="shared" ref="J7:J32" si="1">H7*I7</f>
        <v>3480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45387</v>
      </c>
      <c r="D8" s="21" t="s">
        <v>18</v>
      </c>
      <c r="E8" s="21" t="s">
        <v>625</v>
      </c>
      <c r="F8" s="37">
        <v>240</v>
      </c>
      <c r="G8" s="37">
        <v>367</v>
      </c>
      <c r="H8" s="37">
        <f>367-240</f>
        <v>127</v>
      </c>
      <c r="I8" s="22">
        <v>100</v>
      </c>
      <c r="J8" s="23">
        <f t="shared" si="1"/>
        <v>12700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45390</v>
      </c>
      <c r="D9" s="21" t="s">
        <v>18</v>
      </c>
      <c r="E9" s="21" t="s">
        <v>626</v>
      </c>
      <c r="F9" s="37">
        <v>240</v>
      </c>
      <c r="G9" s="37">
        <v>460</v>
      </c>
      <c r="H9" s="37">
        <f>460-240</f>
        <v>220</v>
      </c>
      <c r="I9" s="22">
        <v>50</v>
      </c>
      <c r="J9" s="23">
        <f t="shared" si="1"/>
        <v>11000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45391</v>
      </c>
      <c r="D10" s="21" t="s">
        <v>18</v>
      </c>
      <c r="E10" s="21" t="s">
        <v>623</v>
      </c>
      <c r="F10" s="37">
        <v>240</v>
      </c>
      <c r="G10" s="37">
        <v>339</v>
      </c>
      <c r="H10" s="37">
        <f>339-240</f>
        <v>99</v>
      </c>
      <c r="I10" s="22">
        <v>100</v>
      </c>
      <c r="J10" s="23">
        <f t="shared" si="1"/>
        <v>9900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45397</v>
      </c>
      <c r="D11" s="21" t="s">
        <v>18</v>
      </c>
      <c r="E11" s="21" t="s">
        <v>627</v>
      </c>
      <c r="F11" s="37">
        <v>190</v>
      </c>
      <c r="G11" s="37">
        <v>223</v>
      </c>
      <c r="H11" s="37">
        <f>223-190</f>
        <v>33</v>
      </c>
      <c r="I11" s="22">
        <v>100</v>
      </c>
      <c r="J11" s="23">
        <f t="shared" si="1"/>
        <v>3300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45398</v>
      </c>
      <c r="D12" s="21" t="s">
        <v>18</v>
      </c>
      <c r="E12" s="21" t="s">
        <v>628</v>
      </c>
      <c r="F12" s="37">
        <v>0.05</v>
      </c>
      <c r="G12" s="37">
        <v>0.15</v>
      </c>
      <c r="H12" s="37">
        <f>0.15-0.05</f>
        <v>9.9999999999999992E-2</v>
      </c>
      <c r="I12" s="22">
        <v>80000</v>
      </c>
      <c r="J12" s="23">
        <f t="shared" si="1"/>
        <v>7999.9999999999991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45398</v>
      </c>
      <c r="D13" s="21" t="s">
        <v>18</v>
      </c>
      <c r="E13" s="21" t="s">
        <v>627</v>
      </c>
      <c r="F13" s="37">
        <v>220</v>
      </c>
      <c r="G13" s="37">
        <v>242</v>
      </c>
      <c r="H13" s="37">
        <f>242-220</f>
        <v>22</v>
      </c>
      <c r="I13" s="22">
        <v>100</v>
      </c>
      <c r="J13" s="23">
        <f t="shared" si="1"/>
        <v>2200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45404</v>
      </c>
      <c r="D14" s="21" t="s">
        <v>18</v>
      </c>
      <c r="E14" s="21" t="s">
        <v>629</v>
      </c>
      <c r="F14" s="37">
        <v>2</v>
      </c>
      <c r="G14" s="37">
        <v>4</v>
      </c>
      <c r="H14" s="37">
        <v>2</v>
      </c>
      <c r="I14" s="22">
        <v>8000</v>
      </c>
      <c r="J14" s="23">
        <f t="shared" si="1"/>
        <v>16000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45412</v>
      </c>
      <c r="D15" s="21" t="s">
        <v>18</v>
      </c>
      <c r="E15" s="21" t="s">
        <v>630</v>
      </c>
      <c r="F15" s="37">
        <v>310</v>
      </c>
      <c r="G15" s="37">
        <v>372</v>
      </c>
      <c r="H15" s="37">
        <f>372-310</f>
        <v>62</v>
      </c>
      <c r="I15" s="22">
        <v>100</v>
      </c>
      <c r="J15" s="23">
        <f t="shared" si="1"/>
        <v>6200</v>
      </c>
      <c r="K15" s="7"/>
      <c r="V15" s="5">
        <f>IF($J15&gt;0,1,0)</f>
        <v>1</v>
      </c>
      <c r="W15" s="5">
        <f>IF($J15&lt;0,1,0)</f>
        <v>0</v>
      </c>
    </row>
    <row r="16" spans="1:23" x14ac:dyDescent="0.3">
      <c r="A16" s="6"/>
      <c r="B16" s="19">
        <v>11</v>
      </c>
      <c r="C16" s="20">
        <v>45412</v>
      </c>
      <c r="D16" s="21" t="s">
        <v>18</v>
      </c>
      <c r="E16" s="21" t="s">
        <v>631</v>
      </c>
      <c r="F16" s="37">
        <v>50</v>
      </c>
      <c r="G16" s="37">
        <v>59.5</v>
      </c>
      <c r="H16" s="37">
        <v>9.5</v>
      </c>
      <c r="I16" s="22">
        <v>367</v>
      </c>
      <c r="J16" s="23">
        <f t="shared" si="1"/>
        <v>3486.5</v>
      </c>
      <c r="K16" s="7"/>
      <c r="M16" s="5" t="s">
        <v>632</v>
      </c>
      <c r="V16" s="5">
        <f>IF($J16&gt;0,1,0)</f>
        <v>1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37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37"/>
      <c r="G27" s="37"/>
      <c r="H27" s="37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idden="1" x14ac:dyDescent="0.3">
      <c r="A28" s="6"/>
      <c r="B28" s="25">
        <v>11</v>
      </c>
      <c r="C28" s="20"/>
      <c r="D28" s="21"/>
      <c r="E28" s="21"/>
      <c r="F28" s="37"/>
      <c r="G28" s="37"/>
      <c r="H28" s="37"/>
      <c r="I28" s="22"/>
      <c r="J28" s="23">
        <f t="shared" si="1"/>
        <v>0</v>
      </c>
      <c r="K28" s="7"/>
    </row>
    <row r="29" spans="1:23" hidden="1" x14ac:dyDescent="0.3">
      <c r="A29" s="6"/>
      <c r="B29" s="25">
        <v>12</v>
      </c>
      <c r="C29" s="20"/>
      <c r="D29" s="21"/>
      <c r="E29" s="21"/>
      <c r="F29" s="37"/>
      <c r="G29" s="37"/>
      <c r="H29" s="37"/>
      <c r="I29" s="22"/>
      <c r="J29" s="23">
        <f t="shared" si="1"/>
        <v>0</v>
      </c>
      <c r="K29" s="7"/>
    </row>
    <row r="30" spans="1:23" hidden="1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hidden="1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88066.5</v>
      </c>
      <c r="K33" s="7"/>
      <c r="V33" s="5">
        <f>SUM(V6:V32)</f>
        <v>11</v>
      </c>
      <c r="W33" s="5">
        <f>SUM(W6:W32)</f>
        <v>0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3:H33"/>
    <mergeCell ref="M6:M7"/>
    <mergeCell ref="N6:N7"/>
    <mergeCell ref="O6:O7"/>
    <mergeCell ref="P6:P7"/>
    <mergeCell ref="Q6:Q7"/>
    <mergeCell ref="R6:R7"/>
  </mergeCells>
  <hyperlinks>
    <hyperlink ref="B33" r:id="rId1" xr:uid="{8CD100E7-7BAF-42C8-8A14-D72646531252}"/>
    <hyperlink ref="M1" location="MASTER!A1" display="Back" xr:uid="{D48CF01A-DF03-4C00-9A6B-D05D70B7AF66}"/>
  </hyperlinks>
  <pageMargins left="0" right="0" top="0" bottom="0" header="0" footer="0"/>
  <pageSetup paperSize="9" orientation="portrait"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923AB-BB50-4818-8FF1-9B618E7B2253}">
  <dimension ref="A1:W34"/>
  <sheetViews>
    <sheetView workbookViewId="0">
      <selection activeCell="F37" sqref="F37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45413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612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11</v>
      </c>
      <c r="O4" s="108">
        <f>V33</f>
        <v>11</v>
      </c>
      <c r="P4" s="108">
        <f>W33</f>
        <v>0</v>
      </c>
      <c r="Q4" s="110">
        <f>N4-O4-P4</f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45414</v>
      </c>
      <c r="D6" s="16" t="s">
        <v>18</v>
      </c>
      <c r="E6" s="16" t="s">
        <v>633</v>
      </c>
      <c r="F6" s="51">
        <v>280</v>
      </c>
      <c r="G6" s="51">
        <v>370</v>
      </c>
      <c r="H6" s="51">
        <f>370-280</f>
        <v>90</v>
      </c>
      <c r="I6" s="17">
        <v>100</v>
      </c>
      <c r="J6" s="18">
        <f>H6*I6</f>
        <v>9000</v>
      </c>
      <c r="K6" s="7"/>
      <c r="M6" s="88" t="s">
        <v>19</v>
      </c>
      <c r="N6" s="90">
        <f>SUM(N4:N5)</f>
        <v>11</v>
      </c>
      <c r="O6" s="90">
        <f>SUM(O4:O5)</f>
        <v>11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45418</v>
      </c>
      <c r="D7" s="21" t="s">
        <v>18</v>
      </c>
      <c r="E7" s="21" t="s">
        <v>634</v>
      </c>
      <c r="F7" s="37">
        <v>155</v>
      </c>
      <c r="G7" s="37">
        <v>162.94999999999999</v>
      </c>
      <c r="H7" s="37">
        <f>162.95-155</f>
        <v>7.9499999999999886</v>
      </c>
      <c r="I7" s="22">
        <v>150</v>
      </c>
      <c r="J7" s="23">
        <f t="shared" ref="J7:J32" si="1">H7*I7</f>
        <v>1192.4999999999982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45425</v>
      </c>
      <c r="D8" s="21" t="s">
        <v>18</v>
      </c>
      <c r="E8" s="21" t="s">
        <v>633</v>
      </c>
      <c r="F8" s="37">
        <v>270</v>
      </c>
      <c r="G8" s="37">
        <v>338</v>
      </c>
      <c r="H8" s="37">
        <f>338-270</f>
        <v>68</v>
      </c>
      <c r="I8" s="22">
        <v>100</v>
      </c>
      <c r="J8" s="23">
        <f t="shared" si="1"/>
        <v>6800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45426</v>
      </c>
      <c r="D9" s="21" t="s">
        <v>18</v>
      </c>
      <c r="E9" s="21" t="s">
        <v>635</v>
      </c>
      <c r="F9" s="37">
        <v>270</v>
      </c>
      <c r="G9" s="37">
        <v>310</v>
      </c>
      <c r="H9" s="37">
        <f>310-270</f>
        <v>40</v>
      </c>
      <c r="I9" s="22">
        <v>100</v>
      </c>
      <c r="J9" s="23">
        <f t="shared" si="1"/>
        <v>4000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45427</v>
      </c>
      <c r="D10" s="21" t="s">
        <v>18</v>
      </c>
      <c r="E10" s="21" t="s">
        <v>636</v>
      </c>
      <c r="F10" s="37">
        <v>250</v>
      </c>
      <c r="G10" s="37">
        <v>342</v>
      </c>
      <c r="H10" s="37">
        <f>342-250</f>
        <v>92</v>
      </c>
      <c r="I10" s="22">
        <v>100</v>
      </c>
      <c r="J10" s="23">
        <f t="shared" si="1"/>
        <v>9200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45429</v>
      </c>
      <c r="D11" s="21" t="s">
        <v>18</v>
      </c>
      <c r="E11" s="21" t="s">
        <v>637</v>
      </c>
      <c r="F11" s="37">
        <v>230</v>
      </c>
      <c r="G11" s="37">
        <v>267</v>
      </c>
      <c r="H11" s="37">
        <f>267-230</f>
        <v>37</v>
      </c>
      <c r="I11" s="22">
        <v>100</v>
      </c>
      <c r="J11" s="23">
        <f t="shared" si="1"/>
        <v>3700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45433</v>
      </c>
      <c r="D12" s="21" t="s">
        <v>18</v>
      </c>
      <c r="E12" s="21" t="s">
        <v>638</v>
      </c>
      <c r="F12" s="37">
        <v>4</v>
      </c>
      <c r="G12" s="37">
        <v>6</v>
      </c>
      <c r="H12" s="37">
        <v>2</v>
      </c>
      <c r="I12" s="22">
        <v>4000</v>
      </c>
      <c r="J12" s="23">
        <f t="shared" si="1"/>
        <v>8000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45434</v>
      </c>
      <c r="D13" s="21" t="s">
        <v>18</v>
      </c>
      <c r="E13" s="21" t="s">
        <v>639</v>
      </c>
      <c r="F13" s="37">
        <v>210</v>
      </c>
      <c r="G13" s="37">
        <v>247</v>
      </c>
      <c r="H13" s="37">
        <f>247-240</f>
        <v>7</v>
      </c>
      <c r="I13" s="22">
        <v>100</v>
      </c>
      <c r="J13" s="23">
        <f t="shared" si="1"/>
        <v>700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45436</v>
      </c>
      <c r="D14" s="21" t="s">
        <v>18</v>
      </c>
      <c r="E14" s="21" t="s">
        <v>640</v>
      </c>
      <c r="F14" s="37">
        <v>100</v>
      </c>
      <c r="G14" s="37">
        <v>108</v>
      </c>
      <c r="H14" s="37">
        <v>8</v>
      </c>
      <c r="I14" s="22">
        <v>300</v>
      </c>
      <c r="J14" s="23">
        <f t="shared" si="1"/>
        <v>2400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45439</v>
      </c>
      <c r="D15" s="21" t="s">
        <v>18</v>
      </c>
      <c r="E15" s="21" t="s">
        <v>641</v>
      </c>
      <c r="F15" s="37">
        <v>1.3</v>
      </c>
      <c r="G15" s="37">
        <v>2.7</v>
      </c>
      <c r="H15" s="37">
        <f>2.7-1.3</f>
        <v>1.4000000000000001</v>
      </c>
      <c r="I15" s="22">
        <v>8000</v>
      </c>
      <c r="J15" s="23">
        <f t="shared" si="1"/>
        <v>11200.000000000002</v>
      </c>
      <c r="K15" s="7"/>
      <c r="V15" s="5">
        <f>IF($J15&gt;0,1,0)</f>
        <v>1</v>
      </c>
      <c r="W15" s="5">
        <f>IF($J15&lt;0,1,0)</f>
        <v>0</v>
      </c>
    </row>
    <row r="16" spans="1:23" x14ac:dyDescent="0.3">
      <c r="A16" s="6"/>
      <c r="B16" s="19">
        <v>11</v>
      </c>
      <c r="C16" s="20">
        <v>45439</v>
      </c>
      <c r="D16" s="21" t="s">
        <v>18</v>
      </c>
      <c r="E16" s="21" t="s">
        <v>642</v>
      </c>
      <c r="F16" s="37">
        <v>1</v>
      </c>
      <c r="G16" s="37">
        <v>1.35</v>
      </c>
      <c r="H16" s="37">
        <v>0.35</v>
      </c>
      <c r="I16" s="22">
        <v>7500</v>
      </c>
      <c r="J16" s="23">
        <f t="shared" si="1"/>
        <v>2625</v>
      </c>
      <c r="K16" s="7"/>
      <c r="V16" s="5">
        <f>IF($J16&gt;0,1,0)</f>
        <v>1</v>
      </c>
      <c r="W16" s="5">
        <f>IF($J16&lt;0,1,0)</f>
        <v>0</v>
      </c>
    </row>
    <row r="17" spans="1:23" hidden="1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37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37"/>
      <c r="G27" s="37"/>
      <c r="H27" s="37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idden="1" x14ac:dyDescent="0.3">
      <c r="A28" s="6"/>
      <c r="B28" s="25">
        <v>11</v>
      </c>
      <c r="C28" s="20"/>
      <c r="D28" s="21"/>
      <c r="E28" s="21"/>
      <c r="F28" s="37"/>
      <c r="G28" s="37"/>
      <c r="H28" s="37"/>
      <c r="I28" s="22"/>
      <c r="J28" s="23">
        <f t="shared" si="1"/>
        <v>0</v>
      </c>
      <c r="K28" s="7"/>
    </row>
    <row r="29" spans="1:23" hidden="1" x14ac:dyDescent="0.3">
      <c r="A29" s="6"/>
      <c r="B29" s="25">
        <v>12</v>
      </c>
      <c r="C29" s="20"/>
      <c r="D29" s="21"/>
      <c r="E29" s="21"/>
      <c r="F29" s="37"/>
      <c r="G29" s="37"/>
      <c r="H29" s="37"/>
      <c r="I29" s="22"/>
      <c r="J29" s="23">
        <f t="shared" si="1"/>
        <v>0</v>
      </c>
      <c r="K29" s="7"/>
    </row>
    <row r="30" spans="1:23" hidden="1" x14ac:dyDescent="0.3">
      <c r="A30" s="6"/>
      <c r="B30" s="25">
        <v>13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hidden="1" x14ac:dyDescent="0.3">
      <c r="A31" s="6"/>
      <c r="B31" s="25"/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25"/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58817.5</v>
      </c>
      <c r="K33" s="7"/>
      <c r="V33" s="5">
        <f>SUM(V6:V32)</f>
        <v>11</v>
      </c>
      <c r="W33" s="5">
        <f>SUM(W6:W32)</f>
        <v>0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3:H33"/>
    <mergeCell ref="M6:M7"/>
    <mergeCell ref="N6:N7"/>
    <mergeCell ref="O6:O7"/>
    <mergeCell ref="P6:P7"/>
    <mergeCell ref="Q6:Q7"/>
    <mergeCell ref="R6:R7"/>
  </mergeCells>
  <hyperlinks>
    <hyperlink ref="B33" r:id="rId1" xr:uid="{8B620318-DC1E-485C-BDC4-1B9EB1ABA2C2}"/>
    <hyperlink ref="M1" location="MASTER!A1" display="Back" xr:uid="{EFDF51FE-5C5C-439D-BA93-9FFE154B06A0}"/>
  </hyperlinks>
  <pageMargins left="0" right="0" top="0" bottom="0" header="0" footer="0"/>
  <pageSetup paperSize="9" orientation="portrait"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04AEC-E160-4CCE-BD47-678F7ED9ACB6}">
  <dimension ref="A1:W34"/>
  <sheetViews>
    <sheetView workbookViewId="0"/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45444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612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15</v>
      </c>
      <c r="O4" s="108">
        <f>V33</f>
        <v>15</v>
      </c>
      <c r="P4" s="108">
        <f>W33</f>
        <v>0</v>
      </c>
      <c r="Q4" s="110">
        <f>N4-O4-P4</f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45447</v>
      </c>
      <c r="D6" s="16" t="s">
        <v>18</v>
      </c>
      <c r="E6" s="16" t="s">
        <v>643</v>
      </c>
      <c r="F6" s="51">
        <v>350</v>
      </c>
      <c r="G6" s="51">
        <v>437</v>
      </c>
      <c r="H6" s="51">
        <f>437-350</f>
        <v>87</v>
      </c>
      <c r="I6" s="17">
        <v>100</v>
      </c>
      <c r="J6" s="18">
        <f>H6*I6</f>
        <v>8700</v>
      </c>
      <c r="K6" s="7"/>
      <c r="M6" s="88" t="s">
        <v>19</v>
      </c>
      <c r="N6" s="90">
        <f>SUM(N4:N5)</f>
        <v>15</v>
      </c>
      <c r="O6" s="90">
        <f>SUM(O4:O5)</f>
        <v>15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45449</v>
      </c>
      <c r="D7" s="21" t="s">
        <v>18</v>
      </c>
      <c r="E7" s="21" t="s">
        <v>644</v>
      </c>
      <c r="F7" s="37">
        <v>270</v>
      </c>
      <c r="G7" s="37">
        <v>540</v>
      </c>
      <c r="H7" s="37">
        <f>540-270</f>
        <v>270</v>
      </c>
      <c r="I7" s="22">
        <v>100</v>
      </c>
      <c r="J7" s="23">
        <f t="shared" ref="J7:J32" si="1">H7*I7</f>
        <v>27000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45449</v>
      </c>
      <c r="D8" s="21" t="s">
        <v>18</v>
      </c>
      <c r="E8" s="21" t="s">
        <v>645</v>
      </c>
      <c r="F8" s="37">
        <v>330</v>
      </c>
      <c r="G8" s="37">
        <v>579</v>
      </c>
      <c r="H8" s="37">
        <f>579-330</f>
        <v>249</v>
      </c>
      <c r="I8" s="22">
        <v>100</v>
      </c>
      <c r="J8" s="23">
        <f t="shared" si="1"/>
        <v>24900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45450</v>
      </c>
      <c r="D9" s="21" t="s">
        <v>18</v>
      </c>
      <c r="E9" s="21" t="s">
        <v>646</v>
      </c>
      <c r="F9" s="37">
        <v>170</v>
      </c>
      <c r="G9" s="37">
        <v>190</v>
      </c>
      <c r="H9" s="37">
        <v>20</v>
      </c>
      <c r="I9" s="22">
        <v>150</v>
      </c>
      <c r="J9" s="23">
        <f t="shared" si="1"/>
        <v>3000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45454</v>
      </c>
      <c r="D10" s="21" t="s">
        <v>18</v>
      </c>
      <c r="E10" s="21" t="s">
        <v>647</v>
      </c>
      <c r="F10" s="37">
        <v>700</v>
      </c>
      <c r="G10" s="37">
        <v>1166</v>
      </c>
      <c r="H10" s="37">
        <f>1166-700</f>
        <v>466</v>
      </c>
      <c r="I10" s="22">
        <v>25</v>
      </c>
      <c r="J10" s="23">
        <f t="shared" si="1"/>
        <v>11650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45454</v>
      </c>
      <c r="D11" s="21" t="s">
        <v>18</v>
      </c>
      <c r="E11" s="21" t="s">
        <v>648</v>
      </c>
      <c r="F11" s="37">
        <v>90</v>
      </c>
      <c r="G11" s="37">
        <v>245</v>
      </c>
      <c r="H11" s="37">
        <f>245-90</f>
        <v>155</v>
      </c>
      <c r="I11" s="22">
        <v>150</v>
      </c>
      <c r="J11" s="23">
        <f t="shared" si="1"/>
        <v>23250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45456</v>
      </c>
      <c r="D12" s="21" t="s">
        <v>18</v>
      </c>
      <c r="E12" s="21" t="s">
        <v>649</v>
      </c>
      <c r="F12" s="37">
        <v>260</v>
      </c>
      <c r="G12" s="37">
        <v>512</v>
      </c>
      <c r="H12" s="37">
        <f>512-260</f>
        <v>252</v>
      </c>
      <c r="I12" s="22">
        <v>100</v>
      </c>
      <c r="J12" s="23">
        <f t="shared" si="1"/>
        <v>25200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45457</v>
      </c>
      <c r="D13" s="21" t="s">
        <v>18</v>
      </c>
      <c r="E13" s="21" t="s">
        <v>650</v>
      </c>
      <c r="F13" s="37">
        <v>75</v>
      </c>
      <c r="G13" s="37">
        <v>217</v>
      </c>
      <c r="H13" s="37">
        <f>217-75</f>
        <v>142</v>
      </c>
      <c r="I13" s="22">
        <v>300</v>
      </c>
      <c r="J13" s="23">
        <f t="shared" si="1"/>
        <v>42600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45457</v>
      </c>
      <c r="D14" s="21" t="s">
        <v>18</v>
      </c>
      <c r="E14" s="21" t="s">
        <v>651</v>
      </c>
      <c r="F14" s="37">
        <v>250</v>
      </c>
      <c r="G14" s="37">
        <v>311</v>
      </c>
      <c r="H14" s="37">
        <f>311-250</f>
        <v>61</v>
      </c>
      <c r="I14" s="22">
        <v>100</v>
      </c>
      <c r="J14" s="23">
        <f t="shared" si="1"/>
        <v>6100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45461</v>
      </c>
      <c r="D15" s="21" t="s">
        <v>18</v>
      </c>
      <c r="E15" s="21" t="s">
        <v>652</v>
      </c>
      <c r="F15" s="37">
        <v>650</v>
      </c>
      <c r="G15" s="37">
        <v>780</v>
      </c>
      <c r="H15" s="37">
        <f>780-650</f>
        <v>130</v>
      </c>
      <c r="I15" s="22">
        <v>25</v>
      </c>
      <c r="J15" s="23">
        <f t="shared" si="1"/>
        <v>3250</v>
      </c>
      <c r="K15" s="7"/>
      <c r="V15" s="5">
        <f>IF($J15&gt;0,1,0)</f>
        <v>1</v>
      </c>
      <c r="W15" s="5">
        <f>IF($J15&lt;0,1,0)</f>
        <v>0</v>
      </c>
    </row>
    <row r="16" spans="1:23" x14ac:dyDescent="0.3">
      <c r="A16" s="6"/>
      <c r="B16" s="19">
        <v>11</v>
      </c>
      <c r="C16" s="20">
        <v>45462</v>
      </c>
      <c r="D16" s="21" t="s">
        <v>18</v>
      </c>
      <c r="E16" s="21" t="s">
        <v>653</v>
      </c>
      <c r="F16" s="37">
        <v>260</v>
      </c>
      <c r="G16" s="37">
        <v>287</v>
      </c>
      <c r="H16" s="37">
        <f>287-260</f>
        <v>27</v>
      </c>
      <c r="I16" s="22">
        <v>100</v>
      </c>
      <c r="J16" s="23">
        <f t="shared" si="1"/>
        <v>2700</v>
      </c>
      <c r="K16" s="7"/>
      <c r="V16" s="5">
        <f>IF($J16&gt;0,1,0)</f>
        <v>1</v>
      </c>
      <c r="W16" s="5">
        <f>IF($J16&lt;0,1,0)</f>
        <v>0</v>
      </c>
    </row>
    <row r="17" spans="1:23" x14ac:dyDescent="0.3">
      <c r="A17" s="6"/>
      <c r="B17" s="19">
        <v>12</v>
      </c>
      <c r="C17" s="20">
        <v>45462</v>
      </c>
      <c r="D17" s="21" t="s">
        <v>18</v>
      </c>
      <c r="E17" s="21" t="s">
        <v>651</v>
      </c>
      <c r="F17" s="37">
        <v>240</v>
      </c>
      <c r="G17" s="37">
        <v>300</v>
      </c>
      <c r="H17" s="37">
        <f>300-240</f>
        <v>60</v>
      </c>
      <c r="I17" s="22">
        <v>100</v>
      </c>
      <c r="J17" s="23">
        <f t="shared" si="1"/>
        <v>6000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19">
        <v>13</v>
      </c>
      <c r="C18" s="20">
        <v>45464</v>
      </c>
      <c r="D18" s="21" t="s">
        <v>18</v>
      </c>
      <c r="E18" s="21" t="s">
        <v>651</v>
      </c>
      <c r="F18" s="37">
        <v>250</v>
      </c>
      <c r="G18" s="37">
        <v>319</v>
      </c>
      <c r="H18" s="37">
        <f>319-250</f>
        <v>69</v>
      </c>
      <c r="I18" s="22">
        <v>100</v>
      </c>
      <c r="J18" s="23">
        <f t="shared" si="1"/>
        <v>6900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9">
        <v>14</v>
      </c>
      <c r="C19" s="20">
        <v>45467</v>
      </c>
      <c r="D19" s="21" t="s">
        <v>18</v>
      </c>
      <c r="E19" s="21" t="s">
        <v>651</v>
      </c>
      <c r="F19" s="37">
        <v>210</v>
      </c>
      <c r="G19" s="37">
        <v>270</v>
      </c>
      <c r="H19" s="37">
        <v>60</v>
      </c>
      <c r="I19" s="22">
        <v>100</v>
      </c>
      <c r="J19" s="23">
        <f t="shared" si="1"/>
        <v>6000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19">
        <v>15</v>
      </c>
      <c r="C20" s="20">
        <v>45471</v>
      </c>
      <c r="D20" s="21" t="s">
        <v>18</v>
      </c>
      <c r="E20" s="21" t="s">
        <v>654</v>
      </c>
      <c r="F20" s="37">
        <v>35</v>
      </c>
      <c r="G20" s="37">
        <v>42</v>
      </c>
      <c r="H20" s="37">
        <f>42-35</f>
        <v>7</v>
      </c>
      <c r="I20" s="22">
        <v>900</v>
      </c>
      <c r="J20" s="23">
        <f t="shared" si="1"/>
        <v>6300</v>
      </c>
      <c r="K20" s="7"/>
      <c r="V20" s="5">
        <f t="shared" si="2"/>
        <v>1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37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37"/>
      <c r="G27" s="37"/>
      <c r="H27" s="37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idden="1" x14ac:dyDescent="0.3">
      <c r="A28" s="6"/>
      <c r="B28" s="19">
        <v>23</v>
      </c>
      <c r="C28" s="20"/>
      <c r="D28" s="21"/>
      <c r="E28" s="21"/>
      <c r="F28" s="37"/>
      <c r="G28" s="37"/>
      <c r="H28" s="37"/>
      <c r="I28" s="22"/>
      <c r="J28" s="23">
        <f t="shared" si="1"/>
        <v>0</v>
      </c>
      <c r="K28" s="7"/>
    </row>
    <row r="29" spans="1:23" hidden="1" x14ac:dyDescent="0.3">
      <c r="A29" s="6"/>
      <c r="B29" s="19">
        <v>24</v>
      </c>
      <c r="C29" s="20"/>
      <c r="D29" s="21"/>
      <c r="E29" s="21"/>
      <c r="F29" s="37"/>
      <c r="G29" s="37"/>
      <c r="H29" s="37"/>
      <c r="I29" s="22"/>
      <c r="J29" s="23">
        <f t="shared" si="1"/>
        <v>0</v>
      </c>
      <c r="K29" s="7"/>
    </row>
    <row r="30" spans="1:23" hidden="1" x14ac:dyDescent="0.3">
      <c r="A30" s="6"/>
      <c r="B30" s="19">
        <v>25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hidden="1" x14ac:dyDescent="0.3">
      <c r="A31" s="6"/>
      <c r="B31" s="19">
        <v>26</v>
      </c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19">
        <v>27</v>
      </c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203550</v>
      </c>
      <c r="K33" s="7"/>
      <c r="V33" s="5">
        <f>SUM(V6:V32)</f>
        <v>15</v>
      </c>
      <c r="W33" s="5">
        <f>SUM(W6:W32)</f>
        <v>0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CB7AE663-1340-416A-A4C9-A76133822301}"/>
    <hyperlink ref="M1" location="MASTER!A1" display="Back" xr:uid="{DE1597DB-3AA7-4EB9-8DF1-6ECF00F0C1D1}"/>
  </hyperlinks>
  <pageMargins left="0" right="0" top="0" bottom="0" header="0" footer="0"/>
  <pageSetup paperSize="9" orientation="portrait"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73907-E33F-422A-8E85-2A661FF8CDEA}">
  <dimension ref="A1:W34"/>
  <sheetViews>
    <sheetView workbookViewId="0">
      <selection activeCell="C6" sqref="C6:J18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45474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612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13</v>
      </c>
      <c r="O4" s="108">
        <v>12</v>
      </c>
      <c r="P4" s="108">
        <v>1</v>
      </c>
      <c r="Q4" s="110">
        <f>N4-O4-P4</f>
        <v>0</v>
      </c>
      <c r="R4" s="94">
        <f>O4/N4</f>
        <v>0.92307692307692313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45475</v>
      </c>
      <c r="D6" s="16" t="s">
        <v>18</v>
      </c>
      <c r="E6" s="16" t="s">
        <v>655</v>
      </c>
      <c r="F6" s="51">
        <v>120</v>
      </c>
      <c r="G6" s="51">
        <v>135</v>
      </c>
      <c r="H6" s="51">
        <v>15</v>
      </c>
      <c r="I6" s="17">
        <v>225</v>
      </c>
      <c r="J6" s="18">
        <f>H6*I6</f>
        <v>3375</v>
      </c>
      <c r="K6" s="7"/>
      <c r="M6" s="88" t="s">
        <v>19</v>
      </c>
      <c r="N6" s="90">
        <f>SUM(N4:N5)</f>
        <v>13</v>
      </c>
      <c r="O6" s="90">
        <f>SUM(O4:O5)</f>
        <v>12</v>
      </c>
      <c r="P6" s="90">
        <f>SUM(P4:P5)</f>
        <v>1</v>
      </c>
      <c r="Q6" s="92">
        <f>SUM(Q4:Q5)</f>
        <v>0</v>
      </c>
      <c r="R6" s="94">
        <f t="shared" ref="R6" si="0">O6/N6</f>
        <v>0.92307692307692313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45476</v>
      </c>
      <c r="D7" s="21" t="s">
        <v>18</v>
      </c>
      <c r="E7" s="21" t="s">
        <v>656</v>
      </c>
      <c r="F7" s="37">
        <v>380</v>
      </c>
      <c r="G7" s="37">
        <v>427</v>
      </c>
      <c r="H7" s="37">
        <f>427-380</f>
        <v>47</v>
      </c>
      <c r="I7" s="22">
        <v>100</v>
      </c>
      <c r="J7" s="23">
        <f t="shared" ref="J7:J32" si="1">H7*I7</f>
        <v>4700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45477</v>
      </c>
      <c r="D8" s="21" t="s">
        <v>18</v>
      </c>
      <c r="E8" s="21" t="s">
        <v>657</v>
      </c>
      <c r="F8" s="37">
        <v>4</v>
      </c>
      <c r="G8" s="37">
        <v>6.1</v>
      </c>
      <c r="H8" s="37">
        <v>2.1</v>
      </c>
      <c r="I8" s="22">
        <v>1900</v>
      </c>
      <c r="J8" s="23">
        <f t="shared" si="1"/>
        <v>3990</v>
      </c>
      <c r="K8" s="7"/>
      <c r="M8" s="67" t="s">
        <v>20</v>
      </c>
      <c r="N8" s="68"/>
      <c r="O8" s="69"/>
      <c r="P8" s="76">
        <f>R6</f>
        <v>0.92307692307692313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45481</v>
      </c>
      <c r="D9" s="21" t="s">
        <v>18</v>
      </c>
      <c r="E9" s="21" t="s">
        <v>658</v>
      </c>
      <c r="F9" s="37">
        <v>9.5</v>
      </c>
      <c r="G9" s="37">
        <v>25</v>
      </c>
      <c r="H9" s="37">
        <f>25-9.5</f>
        <v>15.5</v>
      </c>
      <c r="I9" s="22">
        <v>1925</v>
      </c>
      <c r="J9" s="23">
        <f t="shared" si="1"/>
        <v>29837.5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45482</v>
      </c>
      <c r="D10" s="21" t="s">
        <v>18</v>
      </c>
      <c r="E10" s="21" t="s">
        <v>659</v>
      </c>
      <c r="F10" s="37">
        <v>16.5</v>
      </c>
      <c r="G10" s="37">
        <v>31</v>
      </c>
      <c r="H10" s="37">
        <f>31-16.5</f>
        <v>14.5</v>
      </c>
      <c r="I10" s="22">
        <v>1500</v>
      </c>
      <c r="J10" s="23">
        <f t="shared" si="1"/>
        <v>21750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45483</v>
      </c>
      <c r="D11" s="21" t="s">
        <v>18</v>
      </c>
      <c r="E11" s="21" t="s">
        <v>660</v>
      </c>
      <c r="F11" s="37">
        <v>220</v>
      </c>
      <c r="G11" s="37">
        <v>330</v>
      </c>
      <c r="H11" s="37">
        <f>330-220</f>
        <v>110</v>
      </c>
      <c r="I11" s="22">
        <v>125</v>
      </c>
      <c r="J11" s="23">
        <f t="shared" si="1"/>
        <v>13750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45485</v>
      </c>
      <c r="D12" s="21" t="s">
        <v>18</v>
      </c>
      <c r="E12" s="21" t="s">
        <v>661</v>
      </c>
      <c r="F12" s="37">
        <v>110</v>
      </c>
      <c r="G12" s="37">
        <v>125</v>
      </c>
      <c r="H12" s="37">
        <f>125-110</f>
        <v>15</v>
      </c>
      <c r="I12" s="22">
        <v>300</v>
      </c>
      <c r="J12" s="23">
        <f t="shared" si="1"/>
        <v>4500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45488</v>
      </c>
      <c r="D13" s="21" t="s">
        <v>18</v>
      </c>
      <c r="E13" s="21" t="s">
        <v>662</v>
      </c>
      <c r="F13" s="37">
        <v>70</v>
      </c>
      <c r="G13" s="37">
        <v>87</v>
      </c>
      <c r="H13" s="37">
        <v>17</v>
      </c>
      <c r="I13" s="22">
        <v>175</v>
      </c>
      <c r="J13" s="23">
        <f t="shared" si="1"/>
        <v>2975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45488</v>
      </c>
      <c r="D14" s="21" t="s">
        <v>18</v>
      </c>
      <c r="E14" s="21" t="s">
        <v>663</v>
      </c>
      <c r="F14" s="37">
        <v>7</v>
      </c>
      <c r="G14" s="37">
        <v>4</v>
      </c>
      <c r="H14" s="37">
        <v>-3</v>
      </c>
      <c r="I14" s="22">
        <v>1500</v>
      </c>
      <c r="J14" s="23">
        <f t="shared" si="1"/>
        <v>-4500</v>
      </c>
      <c r="K14" s="7"/>
      <c r="M14" s="5" t="s">
        <v>21</v>
      </c>
      <c r="V14" s="5">
        <f t="shared" si="2"/>
        <v>0</v>
      </c>
      <c r="W14" s="5">
        <f t="shared" si="3"/>
        <v>1</v>
      </c>
    </row>
    <row r="15" spans="1:23" x14ac:dyDescent="0.3">
      <c r="A15" s="6"/>
      <c r="B15" s="19">
        <v>10</v>
      </c>
      <c r="C15" s="20">
        <v>45491</v>
      </c>
      <c r="D15" s="21" t="s">
        <v>18</v>
      </c>
      <c r="E15" s="21" t="s">
        <v>664</v>
      </c>
      <c r="F15" s="37">
        <v>105</v>
      </c>
      <c r="G15" s="37">
        <v>144</v>
      </c>
      <c r="H15" s="37">
        <f>144-105</f>
        <v>39</v>
      </c>
      <c r="I15" s="22">
        <v>300</v>
      </c>
      <c r="J15" s="23">
        <f t="shared" si="1"/>
        <v>11700</v>
      </c>
      <c r="K15" s="7"/>
      <c r="V15" s="5">
        <f>IF($J15&gt;0,1,0)</f>
        <v>1</v>
      </c>
      <c r="W15" s="5">
        <f>IF($J15&lt;0,1,0)</f>
        <v>0</v>
      </c>
    </row>
    <row r="16" spans="1:23" x14ac:dyDescent="0.3">
      <c r="A16" s="6"/>
      <c r="B16" s="19">
        <v>11</v>
      </c>
      <c r="C16" s="20">
        <v>45492</v>
      </c>
      <c r="D16" s="21" t="s">
        <v>18</v>
      </c>
      <c r="E16" s="21" t="s">
        <v>665</v>
      </c>
      <c r="F16" s="37">
        <v>270</v>
      </c>
      <c r="G16" s="37">
        <v>530</v>
      </c>
      <c r="H16" s="37">
        <f>530-270</f>
        <v>260</v>
      </c>
      <c r="I16" s="22">
        <v>100</v>
      </c>
      <c r="J16" s="23">
        <f t="shared" si="1"/>
        <v>26000</v>
      </c>
      <c r="K16" s="7"/>
      <c r="V16" s="5">
        <f>IF($J16&gt;0,1,0)</f>
        <v>1</v>
      </c>
      <c r="W16" s="5">
        <f>IF($J16&lt;0,1,0)</f>
        <v>0</v>
      </c>
    </row>
    <row r="17" spans="1:23" x14ac:dyDescent="0.3">
      <c r="A17" s="6"/>
      <c r="B17" s="19">
        <v>12</v>
      </c>
      <c r="C17" s="20">
        <v>45495</v>
      </c>
      <c r="D17" s="21" t="s">
        <v>18</v>
      </c>
      <c r="E17" s="21" t="s">
        <v>651</v>
      </c>
      <c r="F17" s="37">
        <v>220</v>
      </c>
      <c r="G17" s="37">
        <v>270</v>
      </c>
      <c r="H17" s="37">
        <v>50</v>
      </c>
      <c r="I17" s="22">
        <v>100</v>
      </c>
      <c r="J17" s="23">
        <f t="shared" si="1"/>
        <v>5000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19">
        <v>13</v>
      </c>
      <c r="C18" s="20">
        <v>45502</v>
      </c>
      <c r="D18" s="21" t="s">
        <v>18</v>
      </c>
      <c r="E18" s="21" t="s">
        <v>666</v>
      </c>
      <c r="F18" s="37">
        <v>300</v>
      </c>
      <c r="G18" s="37">
        <v>250</v>
      </c>
      <c r="H18" s="37">
        <v>-50</v>
      </c>
      <c r="I18" s="22">
        <v>100</v>
      </c>
      <c r="J18" s="23">
        <f t="shared" si="1"/>
        <v>-5000</v>
      </c>
      <c r="K18" s="7"/>
      <c r="V18" s="5">
        <f t="shared" si="2"/>
        <v>0</v>
      </c>
      <c r="W18" s="5">
        <f t="shared" si="3"/>
        <v>1</v>
      </c>
    </row>
    <row r="19" spans="1:23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37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37"/>
      <c r="G27" s="37"/>
      <c r="H27" s="37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idden="1" x14ac:dyDescent="0.3">
      <c r="A28" s="6"/>
      <c r="B28" s="19">
        <v>23</v>
      </c>
      <c r="C28" s="20"/>
      <c r="D28" s="21"/>
      <c r="E28" s="21"/>
      <c r="F28" s="37"/>
      <c r="G28" s="37"/>
      <c r="H28" s="37"/>
      <c r="I28" s="22"/>
      <c r="J28" s="23">
        <f t="shared" si="1"/>
        <v>0</v>
      </c>
      <c r="K28" s="7"/>
    </row>
    <row r="29" spans="1:23" hidden="1" x14ac:dyDescent="0.3">
      <c r="A29" s="6"/>
      <c r="B29" s="19">
        <v>24</v>
      </c>
      <c r="C29" s="20"/>
      <c r="D29" s="21"/>
      <c r="E29" s="21"/>
      <c r="F29" s="37"/>
      <c r="G29" s="37"/>
      <c r="H29" s="37"/>
      <c r="I29" s="22"/>
      <c r="J29" s="23">
        <f t="shared" si="1"/>
        <v>0</v>
      </c>
      <c r="K29" s="7"/>
    </row>
    <row r="30" spans="1:23" hidden="1" x14ac:dyDescent="0.3">
      <c r="A30" s="6"/>
      <c r="B30" s="19">
        <v>25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hidden="1" x14ac:dyDescent="0.3">
      <c r="A31" s="6"/>
      <c r="B31" s="19">
        <v>26</v>
      </c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19">
        <v>27</v>
      </c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118077.5</v>
      </c>
      <c r="K33" s="7"/>
      <c r="V33" s="5">
        <f>SUM(V6:V32)</f>
        <v>11</v>
      </c>
      <c r="W33" s="5">
        <f>SUM(W6:W32)</f>
        <v>2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41BBC90F-1B74-4150-8DD5-52EEBA141D95}"/>
    <hyperlink ref="M1" location="MASTER!A1" display="Back" xr:uid="{3A5CEFAE-81A0-4A0D-A5F2-ADE8F0DD332F}"/>
  </hyperlinks>
  <pageMargins left="0" right="0" top="0" bottom="0" header="0" footer="0"/>
  <pageSetup paperSize="9" orientation="portrait"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7A14-3718-46D1-AE49-6F6039D24ECC}">
  <dimension ref="A1:W34"/>
  <sheetViews>
    <sheetView workbookViewId="0">
      <selection activeCell="P4" sqref="P4:P5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45505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612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9</v>
      </c>
      <c r="O4" s="108">
        <v>9</v>
      </c>
      <c r="P4" s="108">
        <v>0</v>
      </c>
      <c r="Q4" s="110"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45506</v>
      </c>
      <c r="D6" s="16" t="s">
        <v>18</v>
      </c>
      <c r="E6" s="16" t="s">
        <v>667</v>
      </c>
      <c r="F6" s="51">
        <v>310</v>
      </c>
      <c r="G6" s="51">
        <v>399</v>
      </c>
      <c r="H6" s="51">
        <f>399-310</f>
        <v>89</v>
      </c>
      <c r="I6" s="17">
        <v>100</v>
      </c>
      <c r="J6" s="18">
        <f>H6*I6</f>
        <v>8900</v>
      </c>
      <c r="K6" s="7"/>
      <c r="M6" s="88" t="s">
        <v>19</v>
      </c>
      <c r="N6" s="90">
        <f>SUM(N4:N5)</f>
        <v>9</v>
      </c>
      <c r="O6" s="90">
        <f>SUM(O4:O5)</f>
        <v>9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45510</v>
      </c>
      <c r="D7" s="21" t="s">
        <v>18</v>
      </c>
      <c r="E7" s="21" t="s">
        <v>651</v>
      </c>
      <c r="F7" s="37">
        <v>320</v>
      </c>
      <c r="G7" s="37">
        <v>540</v>
      </c>
      <c r="H7" s="37">
        <f>540-320</f>
        <v>220</v>
      </c>
      <c r="I7" s="22">
        <v>100</v>
      </c>
      <c r="J7" s="23">
        <f t="shared" ref="J7:J32" si="1">H7*I7</f>
        <v>22000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45516</v>
      </c>
      <c r="D8" s="21" t="s">
        <v>18</v>
      </c>
      <c r="E8" s="21" t="s">
        <v>668</v>
      </c>
      <c r="F8" s="37">
        <v>280</v>
      </c>
      <c r="G8" s="37">
        <v>460</v>
      </c>
      <c r="H8" s="37">
        <f>460-280</f>
        <v>180</v>
      </c>
      <c r="I8" s="22">
        <v>100</v>
      </c>
      <c r="J8" s="23">
        <f t="shared" si="1"/>
        <v>18000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45517</v>
      </c>
      <c r="D9" s="21" t="s">
        <v>18</v>
      </c>
      <c r="E9" s="21" t="s">
        <v>669</v>
      </c>
      <c r="F9" s="37">
        <v>310</v>
      </c>
      <c r="G9" s="37">
        <v>377</v>
      </c>
      <c r="H9" s="37">
        <f>377-310</f>
        <v>67</v>
      </c>
      <c r="I9" s="22">
        <v>100</v>
      </c>
      <c r="J9" s="23">
        <f t="shared" si="1"/>
        <v>6700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45518</v>
      </c>
      <c r="D10" s="21" t="s">
        <v>18</v>
      </c>
      <c r="E10" s="21" t="s">
        <v>667</v>
      </c>
      <c r="F10" s="37">
        <v>300</v>
      </c>
      <c r="G10" s="37">
        <v>339</v>
      </c>
      <c r="H10" s="37">
        <v>39</v>
      </c>
      <c r="I10" s="22">
        <v>100</v>
      </c>
      <c r="J10" s="23">
        <f t="shared" si="1"/>
        <v>3900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45524</v>
      </c>
      <c r="D11" s="21" t="s">
        <v>18</v>
      </c>
      <c r="E11" s="21" t="s">
        <v>670</v>
      </c>
      <c r="F11" s="37">
        <v>90</v>
      </c>
      <c r="G11" s="37">
        <v>117</v>
      </c>
      <c r="H11" s="37">
        <f>117-90</f>
        <v>27</v>
      </c>
      <c r="I11" s="22">
        <v>300</v>
      </c>
      <c r="J11" s="23">
        <f t="shared" si="1"/>
        <v>8100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45525</v>
      </c>
      <c r="D12" s="21" t="s">
        <v>18</v>
      </c>
      <c r="E12" s="21" t="s">
        <v>671</v>
      </c>
      <c r="F12" s="37">
        <v>20</v>
      </c>
      <c r="G12" s="37">
        <v>29.45</v>
      </c>
      <c r="H12" s="37">
        <v>9.4499999999999993</v>
      </c>
      <c r="I12" s="22">
        <v>300</v>
      </c>
      <c r="J12" s="23">
        <f t="shared" si="1"/>
        <v>2835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45526</v>
      </c>
      <c r="D13" s="21" t="s">
        <v>18</v>
      </c>
      <c r="E13" s="21" t="s">
        <v>672</v>
      </c>
      <c r="F13" s="37">
        <v>75</v>
      </c>
      <c r="G13" s="37">
        <v>257</v>
      </c>
      <c r="H13" s="37">
        <f>257-75</f>
        <v>182</v>
      </c>
      <c r="I13" s="22">
        <v>300</v>
      </c>
      <c r="J13" s="23">
        <f t="shared" si="1"/>
        <v>54600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45530</v>
      </c>
      <c r="D14" s="21" t="s">
        <v>18</v>
      </c>
      <c r="E14" s="21" t="s">
        <v>673</v>
      </c>
      <c r="F14" s="37">
        <v>3</v>
      </c>
      <c r="G14" s="37">
        <v>7</v>
      </c>
      <c r="H14" s="37">
        <v>4</v>
      </c>
      <c r="I14" s="22">
        <v>4575</v>
      </c>
      <c r="J14" s="23">
        <f t="shared" si="1"/>
        <v>18300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37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37"/>
      <c r="G27" s="37"/>
      <c r="H27" s="37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idden="1" x14ac:dyDescent="0.3">
      <c r="A28" s="6"/>
      <c r="B28" s="19">
        <v>23</v>
      </c>
      <c r="C28" s="20"/>
      <c r="D28" s="21"/>
      <c r="E28" s="21"/>
      <c r="F28" s="37"/>
      <c r="G28" s="37"/>
      <c r="H28" s="37"/>
      <c r="I28" s="22"/>
      <c r="J28" s="23">
        <f t="shared" si="1"/>
        <v>0</v>
      </c>
      <c r="K28" s="7"/>
    </row>
    <row r="29" spans="1:23" hidden="1" x14ac:dyDescent="0.3">
      <c r="A29" s="6"/>
      <c r="B29" s="19">
        <v>24</v>
      </c>
      <c r="C29" s="20"/>
      <c r="D29" s="21"/>
      <c r="E29" s="21"/>
      <c r="F29" s="37"/>
      <c r="G29" s="37"/>
      <c r="H29" s="37"/>
      <c r="I29" s="22"/>
      <c r="J29" s="23">
        <f t="shared" si="1"/>
        <v>0</v>
      </c>
      <c r="K29" s="7"/>
    </row>
    <row r="30" spans="1:23" hidden="1" x14ac:dyDescent="0.3">
      <c r="A30" s="6"/>
      <c r="B30" s="19">
        <v>25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hidden="1" x14ac:dyDescent="0.3">
      <c r="A31" s="6"/>
      <c r="B31" s="19">
        <v>26</v>
      </c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thickBot="1" x14ac:dyDescent="0.35">
      <c r="A32" s="6"/>
      <c r="B32" s="19">
        <v>27</v>
      </c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143335</v>
      </c>
      <c r="K33" s="7"/>
      <c r="V33" s="5">
        <f>SUM(V6:V32)</f>
        <v>9</v>
      </c>
      <c r="W33" s="5">
        <f>SUM(W6:W32)</f>
        <v>0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D9EB77DE-23A7-47AA-BDC2-F78EA0F996B3}"/>
    <hyperlink ref="M1" location="MASTER!A1" display="Back" xr:uid="{FDC6A76F-B323-4DF9-B85F-9123737A0F7B}"/>
  </hyperlinks>
  <pageMargins left="0" right="0" top="0" bottom="0" header="0" footer="0"/>
  <pageSetup paperSize="9" orientation="portrait"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99BD7-5122-4519-80E3-1363A47213F5}">
  <dimension ref="A1:W34"/>
  <sheetViews>
    <sheetView workbookViewId="0">
      <selection activeCell="O19" sqref="O19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45536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612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14</v>
      </c>
      <c r="O4" s="108">
        <v>12</v>
      </c>
      <c r="P4" s="108">
        <v>2</v>
      </c>
      <c r="Q4" s="110">
        <v>0</v>
      </c>
      <c r="R4" s="94">
        <f>O4/N4</f>
        <v>0.8571428571428571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45537</v>
      </c>
      <c r="D6" s="16" t="s">
        <v>18</v>
      </c>
      <c r="E6" s="16" t="s">
        <v>674</v>
      </c>
      <c r="F6" s="51">
        <v>330</v>
      </c>
      <c r="G6" s="51">
        <v>520</v>
      </c>
      <c r="H6" s="51">
        <f>520-330</f>
        <v>190</v>
      </c>
      <c r="I6" s="17">
        <v>100</v>
      </c>
      <c r="J6" s="18">
        <f>H6*I6</f>
        <v>19000</v>
      </c>
      <c r="K6" s="7"/>
      <c r="M6" s="88" t="s">
        <v>19</v>
      </c>
      <c r="N6" s="90">
        <f>SUM(N4:N5)</f>
        <v>14</v>
      </c>
      <c r="O6" s="90">
        <f>SUM(O4:O5)</f>
        <v>12</v>
      </c>
      <c r="P6" s="90">
        <f>SUM(P4:P5)</f>
        <v>2</v>
      </c>
      <c r="Q6" s="92">
        <f>SUM(Q4:Q5)</f>
        <v>0</v>
      </c>
      <c r="R6" s="94">
        <f t="shared" ref="R6" si="0">O6/N6</f>
        <v>0.8571428571428571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45540</v>
      </c>
      <c r="D7" s="21" t="s">
        <v>18</v>
      </c>
      <c r="E7" s="21" t="s">
        <v>675</v>
      </c>
      <c r="F7" s="37">
        <v>65</v>
      </c>
      <c r="G7" s="37">
        <v>91</v>
      </c>
      <c r="H7" s="37">
        <f>91-65</f>
        <v>26</v>
      </c>
      <c r="I7" s="22">
        <v>300</v>
      </c>
      <c r="J7" s="23">
        <f t="shared" ref="J7:J32" si="1">H7*I7</f>
        <v>7800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45545</v>
      </c>
      <c r="D8" s="21" t="s">
        <v>18</v>
      </c>
      <c r="E8" s="21" t="s">
        <v>676</v>
      </c>
      <c r="F8" s="37">
        <v>17</v>
      </c>
      <c r="G8" s="37">
        <v>21</v>
      </c>
      <c r="H8" s="37">
        <v>4</v>
      </c>
      <c r="I8" s="22">
        <v>900</v>
      </c>
      <c r="J8" s="23">
        <f t="shared" si="1"/>
        <v>3600</v>
      </c>
      <c r="K8" s="7"/>
      <c r="M8" s="67" t="s">
        <v>20</v>
      </c>
      <c r="N8" s="68"/>
      <c r="O8" s="69"/>
      <c r="P8" s="76">
        <f>R6</f>
        <v>0.8571428571428571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45546</v>
      </c>
      <c r="D9" s="21" t="s">
        <v>18</v>
      </c>
      <c r="E9" s="21" t="s">
        <v>684</v>
      </c>
      <c r="F9" s="37">
        <v>290</v>
      </c>
      <c r="G9" s="37">
        <v>414</v>
      </c>
      <c r="H9" s="37">
        <f>414-290</f>
        <v>124</v>
      </c>
      <c r="I9" s="22">
        <v>100</v>
      </c>
      <c r="J9" s="23">
        <f t="shared" si="1"/>
        <v>12400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45547</v>
      </c>
      <c r="D10" s="21" t="s">
        <v>18</v>
      </c>
      <c r="E10" s="21" t="s">
        <v>677</v>
      </c>
      <c r="F10" s="37">
        <v>64</v>
      </c>
      <c r="G10" s="37">
        <v>84</v>
      </c>
      <c r="H10" s="37">
        <v>20</v>
      </c>
      <c r="I10" s="22">
        <v>175</v>
      </c>
      <c r="J10" s="23">
        <f t="shared" si="1"/>
        <v>3500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45548</v>
      </c>
      <c r="D11" s="21" t="s">
        <v>18</v>
      </c>
      <c r="E11" s="21" t="s">
        <v>678</v>
      </c>
      <c r="F11" s="37">
        <v>45</v>
      </c>
      <c r="G11" s="37">
        <v>62</v>
      </c>
      <c r="H11" s="37">
        <f>62-45</f>
        <v>17</v>
      </c>
      <c r="I11" s="22">
        <v>300</v>
      </c>
      <c r="J11" s="23">
        <f t="shared" si="1"/>
        <v>5100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45551</v>
      </c>
      <c r="D12" s="21" t="s">
        <v>18</v>
      </c>
      <c r="E12" s="21" t="s">
        <v>679</v>
      </c>
      <c r="F12" s="37">
        <v>300</v>
      </c>
      <c r="G12" s="37">
        <v>450</v>
      </c>
      <c r="H12" s="37">
        <f>450-300</f>
        <v>150</v>
      </c>
      <c r="I12" s="22">
        <v>100</v>
      </c>
      <c r="J12" s="23">
        <f t="shared" si="1"/>
        <v>15000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45552</v>
      </c>
      <c r="D13" s="21" t="s">
        <v>18</v>
      </c>
      <c r="E13" s="21" t="s">
        <v>680</v>
      </c>
      <c r="F13" s="37">
        <v>90</v>
      </c>
      <c r="G13" s="37">
        <v>129.65</v>
      </c>
      <c r="H13" s="37">
        <f>129.65-90</f>
        <v>39.650000000000006</v>
      </c>
      <c r="I13" s="22">
        <v>300</v>
      </c>
      <c r="J13" s="23">
        <f t="shared" si="1"/>
        <v>11895.000000000002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45553</v>
      </c>
      <c r="D14" s="21" t="s">
        <v>18</v>
      </c>
      <c r="E14" s="21" t="s">
        <v>681</v>
      </c>
      <c r="F14" s="37">
        <v>290</v>
      </c>
      <c r="G14" s="37">
        <v>368</v>
      </c>
      <c r="H14" s="37">
        <f>368-290</f>
        <v>78</v>
      </c>
      <c r="I14" s="22">
        <v>100</v>
      </c>
      <c r="J14" s="23">
        <f t="shared" si="1"/>
        <v>7800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45553</v>
      </c>
      <c r="D15" s="21" t="s">
        <v>18</v>
      </c>
      <c r="E15" s="21" t="s">
        <v>683</v>
      </c>
      <c r="F15" s="37">
        <v>60</v>
      </c>
      <c r="G15" s="37">
        <v>50</v>
      </c>
      <c r="H15" s="37">
        <v>-10</v>
      </c>
      <c r="I15" s="22">
        <v>150</v>
      </c>
      <c r="J15" s="23">
        <f t="shared" si="1"/>
        <v>-1500</v>
      </c>
      <c r="K15" s="7"/>
      <c r="V15" s="5">
        <f>IF($J15&gt;0,1,0)</f>
        <v>0</v>
      </c>
      <c r="W15" s="5">
        <f>IF($J15&lt;0,1,0)</f>
        <v>1</v>
      </c>
    </row>
    <row r="16" spans="1:23" x14ac:dyDescent="0.3">
      <c r="A16" s="6"/>
      <c r="B16" s="19">
        <v>11</v>
      </c>
      <c r="C16" s="20">
        <v>45555</v>
      </c>
      <c r="D16" s="21" t="s">
        <v>18</v>
      </c>
      <c r="E16" s="21" t="s">
        <v>682</v>
      </c>
      <c r="F16" s="37">
        <v>15</v>
      </c>
      <c r="G16" s="37">
        <v>18.600000000000001</v>
      </c>
      <c r="H16" s="37">
        <v>3.6</v>
      </c>
      <c r="I16" s="22">
        <v>425</v>
      </c>
      <c r="J16" s="23">
        <f t="shared" si="1"/>
        <v>1530</v>
      </c>
      <c r="K16" s="7"/>
      <c r="V16" s="5">
        <f>IF($J16&gt;0,1,0)</f>
        <v>1</v>
      </c>
      <c r="W16" s="5">
        <f>IF($J16&lt;0,1,0)</f>
        <v>0</v>
      </c>
    </row>
    <row r="17" spans="1:23" x14ac:dyDescent="0.3">
      <c r="A17" s="6"/>
      <c r="B17" s="19">
        <v>12</v>
      </c>
      <c r="C17" s="20">
        <v>45555</v>
      </c>
      <c r="D17" s="21" t="s">
        <v>18</v>
      </c>
      <c r="E17" s="21" t="s">
        <v>681</v>
      </c>
      <c r="F17" s="37">
        <v>290</v>
      </c>
      <c r="G17" s="37">
        <v>75</v>
      </c>
      <c r="H17" s="37">
        <v>-215</v>
      </c>
      <c r="I17" s="22">
        <v>100</v>
      </c>
      <c r="J17" s="23">
        <f t="shared" si="1"/>
        <v>-21500</v>
      </c>
      <c r="K17" s="7"/>
      <c r="V17" s="5">
        <f t="shared" si="2"/>
        <v>0</v>
      </c>
      <c r="W17" s="5">
        <f t="shared" si="3"/>
        <v>1</v>
      </c>
    </row>
    <row r="18" spans="1:23" x14ac:dyDescent="0.3">
      <c r="A18" s="6"/>
      <c r="B18" s="19">
        <v>13</v>
      </c>
      <c r="C18" s="20">
        <v>45559</v>
      </c>
      <c r="D18" s="21" t="s">
        <v>18</v>
      </c>
      <c r="E18" s="21" t="s">
        <v>685</v>
      </c>
      <c r="F18" s="37">
        <v>120</v>
      </c>
      <c r="G18" s="37">
        <v>154</v>
      </c>
      <c r="H18" s="37">
        <f>154-120</f>
        <v>34</v>
      </c>
      <c r="I18" s="22">
        <v>125</v>
      </c>
      <c r="J18" s="23">
        <f t="shared" si="1"/>
        <v>4250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9">
        <v>14</v>
      </c>
      <c r="C19" s="20">
        <v>45562</v>
      </c>
      <c r="D19" s="21" t="s">
        <v>18</v>
      </c>
      <c r="E19" s="21" t="s">
        <v>686</v>
      </c>
      <c r="F19" s="37">
        <v>300</v>
      </c>
      <c r="G19" s="37">
        <v>374</v>
      </c>
      <c r="H19" s="37">
        <v>74</v>
      </c>
      <c r="I19" s="22">
        <v>125</v>
      </c>
      <c r="J19" s="23">
        <f t="shared" si="1"/>
        <v>9250</v>
      </c>
      <c r="K19" s="7"/>
      <c r="V19" s="5">
        <f t="shared" si="2"/>
        <v>1</v>
      </c>
      <c r="W19" s="5">
        <f t="shared" si="3"/>
        <v>0</v>
      </c>
    </row>
    <row r="20" spans="1:23" ht="15" thickBot="1" x14ac:dyDescent="0.35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ref="J22:J28" si="4">H22*I22</f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4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4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37"/>
      <c r="I25" s="22"/>
      <c r="J25" s="23">
        <f t="shared" si="4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37"/>
      <c r="I26" s="22"/>
      <c r="J26" s="23">
        <f t="shared" si="4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37"/>
      <c r="G27" s="37"/>
      <c r="H27" s="37"/>
      <c r="I27" s="22"/>
      <c r="J27" s="23">
        <f t="shared" si="4"/>
        <v>0</v>
      </c>
      <c r="K27" s="7"/>
      <c r="V27" s="5">
        <f t="shared" si="2"/>
        <v>0</v>
      </c>
      <c r="W27" s="5">
        <f t="shared" si="3"/>
        <v>0</v>
      </c>
    </row>
    <row r="28" spans="1:23" hidden="1" x14ac:dyDescent="0.3">
      <c r="A28" s="6"/>
      <c r="B28" s="19">
        <v>23</v>
      </c>
      <c r="C28" s="20"/>
      <c r="D28" s="21"/>
      <c r="E28" s="21"/>
      <c r="F28" s="37"/>
      <c r="G28" s="37"/>
      <c r="H28" s="37"/>
      <c r="I28" s="22"/>
      <c r="J28" s="23">
        <f t="shared" si="4"/>
        <v>0</v>
      </c>
      <c r="K28" s="7"/>
    </row>
    <row r="29" spans="1:23" hidden="1" x14ac:dyDescent="0.3">
      <c r="A29" s="6"/>
      <c r="B29" s="19">
        <v>24</v>
      </c>
      <c r="C29" s="20"/>
      <c r="D29" s="21"/>
      <c r="E29" s="21"/>
      <c r="F29" s="37"/>
      <c r="G29" s="37"/>
      <c r="H29" s="37"/>
      <c r="I29" s="22"/>
      <c r="J29" s="23">
        <f t="shared" si="1"/>
        <v>0</v>
      </c>
      <c r="K29" s="7"/>
    </row>
    <row r="30" spans="1:23" hidden="1" x14ac:dyDescent="0.3">
      <c r="A30" s="6"/>
      <c r="B30" s="19">
        <v>25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hidden="1" x14ac:dyDescent="0.3">
      <c r="A31" s="6"/>
      <c r="B31" s="19">
        <v>26</v>
      </c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hidden="1" thickBot="1" x14ac:dyDescent="0.35">
      <c r="A32" s="6"/>
      <c r="B32" s="19">
        <v>27</v>
      </c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78125</v>
      </c>
      <c r="K33" s="7"/>
      <c r="V33" s="5">
        <f>SUM(V6:V32)</f>
        <v>12</v>
      </c>
      <c r="W33" s="5">
        <f>SUM(W6:W32)</f>
        <v>2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6550093B-56C5-4079-882C-FFF05D092515}"/>
    <hyperlink ref="M1" location="MASTER!A1" display="Back" xr:uid="{A49865E5-F424-48B4-A520-6DEC67794564}"/>
  </hyperlinks>
  <pageMargins left="0" right="0" top="0" bottom="0" header="0" footer="0"/>
  <pageSetup paperSize="9" orientation="portrait"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6473-88C8-4979-96DC-37A816776224}">
  <dimension ref="A1:W34"/>
  <sheetViews>
    <sheetView workbookViewId="0">
      <selection activeCell="C14" sqref="C14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45566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612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8</v>
      </c>
      <c r="O4" s="108">
        <v>7</v>
      </c>
      <c r="P4" s="108">
        <v>1</v>
      </c>
      <c r="Q4" s="110">
        <v>0</v>
      </c>
      <c r="R4" s="94">
        <f>O4/N4</f>
        <v>0.875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45569</v>
      </c>
      <c r="D6" s="16" t="s">
        <v>18</v>
      </c>
      <c r="E6" s="16" t="s">
        <v>687</v>
      </c>
      <c r="F6" s="51">
        <v>460</v>
      </c>
      <c r="G6" s="51">
        <v>550</v>
      </c>
      <c r="H6" s="51">
        <f>550-460</f>
        <v>90</v>
      </c>
      <c r="I6" s="17">
        <v>100</v>
      </c>
      <c r="J6" s="18">
        <f>H6*I6</f>
        <v>9000</v>
      </c>
      <c r="K6" s="7"/>
      <c r="M6" s="88" t="s">
        <v>19</v>
      </c>
      <c r="N6" s="90">
        <f>SUM(N4:N5)</f>
        <v>8</v>
      </c>
      <c r="O6" s="90">
        <f>SUM(O4:O5)</f>
        <v>7</v>
      </c>
      <c r="P6" s="90">
        <f>SUM(P4:P5)</f>
        <v>1</v>
      </c>
      <c r="Q6" s="92">
        <f>SUM(Q4:Q5)</f>
        <v>0</v>
      </c>
      <c r="R6" s="94">
        <f t="shared" ref="R6" si="0">O6/N6</f>
        <v>0.875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45573</v>
      </c>
      <c r="D7" s="21" t="s">
        <v>18</v>
      </c>
      <c r="E7" s="21" t="s">
        <v>688</v>
      </c>
      <c r="F7" s="37">
        <v>0.35</v>
      </c>
      <c r="G7" s="37">
        <v>0.7</v>
      </c>
      <c r="H7" s="37">
        <f>0.7-0.35</f>
        <v>0.35</v>
      </c>
      <c r="I7" s="22">
        <v>40000</v>
      </c>
      <c r="J7" s="23">
        <f t="shared" ref="J7:J32" si="1">H7*I7</f>
        <v>14000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45574</v>
      </c>
      <c r="D8" s="21" t="s">
        <v>18</v>
      </c>
      <c r="E8" s="21" t="s">
        <v>689</v>
      </c>
      <c r="F8" s="37">
        <v>25</v>
      </c>
      <c r="G8" s="37">
        <v>15</v>
      </c>
      <c r="H8" s="37">
        <v>-10</v>
      </c>
      <c r="I8" s="22">
        <v>500</v>
      </c>
      <c r="J8" s="23">
        <f t="shared" si="1"/>
        <v>-5000</v>
      </c>
      <c r="K8" s="7"/>
      <c r="M8" s="67" t="s">
        <v>20</v>
      </c>
      <c r="N8" s="68"/>
      <c r="O8" s="69"/>
      <c r="P8" s="76">
        <f>R6</f>
        <v>0.875</v>
      </c>
      <c r="Q8" s="77"/>
      <c r="R8" s="78"/>
      <c r="V8" s="5">
        <f t="shared" si="2"/>
        <v>0</v>
      </c>
      <c r="W8" s="5">
        <f t="shared" si="3"/>
        <v>1</v>
      </c>
    </row>
    <row r="9" spans="1:23" x14ac:dyDescent="0.3">
      <c r="A9" s="6"/>
      <c r="B9" s="19">
        <v>4</v>
      </c>
      <c r="C9" s="20">
        <v>45579</v>
      </c>
      <c r="D9" s="21" t="s">
        <v>18</v>
      </c>
      <c r="E9" s="21" t="s">
        <v>690</v>
      </c>
      <c r="F9" s="37">
        <v>87</v>
      </c>
      <c r="G9" s="37">
        <v>120</v>
      </c>
      <c r="H9" s="37">
        <f>120-87</f>
        <v>33</v>
      </c>
      <c r="I9" s="22">
        <v>200</v>
      </c>
      <c r="J9" s="23">
        <f t="shared" si="1"/>
        <v>6600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45582</v>
      </c>
      <c r="D10" s="21" t="s">
        <v>18</v>
      </c>
      <c r="E10" s="21" t="s">
        <v>691</v>
      </c>
      <c r="F10" s="37">
        <v>270</v>
      </c>
      <c r="G10" s="37">
        <v>335</v>
      </c>
      <c r="H10" s="37">
        <f>335-270</f>
        <v>65</v>
      </c>
      <c r="I10" s="22">
        <v>100</v>
      </c>
      <c r="J10" s="23">
        <f t="shared" si="1"/>
        <v>6500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45583</v>
      </c>
      <c r="D11" s="21" t="s">
        <v>18</v>
      </c>
      <c r="E11" s="21" t="s">
        <v>692</v>
      </c>
      <c r="F11" s="37">
        <v>110</v>
      </c>
      <c r="G11" s="37">
        <v>146</v>
      </c>
      <c r="H11" s="37">
        <f>146-110</f>
        <v>36</v>
      </c>
      <c r="I11" s="22">
        <v>125</v>
      </c>
      <c r="J11" s="23">
        <f t="shared" si="1"/>
        <v>4500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45587</v>
      </c>
      <c r="D12" s="21" t="s">
        <v>18</v>
      </c>
      <c r="E12" s="21" t="s">
        <v>693</v>
      </c>
      <c r="F12" s="37">
        <v>95</v>
      </c>
      <c r="G12" s="37">
        <v>184</v>
      </c>
      <c r="H12" s="37">
        <f>184-95</f>
        <v>89</v>
      </c>
      <c r="I12" s="22">
        <v>300</v>
      </c>
      <c r="J12" s="23">
        <f t="shared" si="1"/>
        <v>26700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45589</v>
      </c>
      <c r="D13" s="21" t="s">
        <v>18</v>
      </c>
      <c r="E13" s="21" t="s">
        <v>693</v>
      </c>
      <c r="F13" s="37">
        <v>73</v>
      </c>
      <c r="G13" s="37">
        <v>152</v>
      </c>
      <c r="H13" s="37">
        <f>152-73</f>
        <v>79</v>
      </c>
      <c r="I13" s="22">
        <v>300</v>
      </c>
      <c r="J13" s="23">
        <f t="shared" si="1"/>
        <v>23700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t="15" thickBot="1" x14ac:dyDescent="0.35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t="15" hidden="1" thickBot="1" x14ac:dyDescent="0.35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t="15" hidden="1" thickBot="1" x14ac:dyDescent="0.35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t="15" hidden="1" thickBot="1" x14ac:dyDescent="0.35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t="15" hidden="1" thickBot="1" x14ac:dyDescent="0.35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t="15" hidden="1" thickBot="1" x14ac:dyDescent="0.35">
      <c r="A25" s="6"/>
      <c r="B25" s="19">
        <v>20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t="15" hidden="1" thickBot="1" x14ac:dyDescent="0.35">
      <c r="A26" s="6"/>
      <c r="B26" s="19">
        <v>21</v>
      </c>
      <c r="C26" s="20"/>
      <c r="D26" s="21"/>
      <c r="E26" s="21"/>
      <c r="F26" s="37"/>
      <c r="G26" s="37"/>
      <c r="H26" s="37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t="15" hidden="1" thickBot="1" x14ac:dyDescent="0.35">
      <c r="A27" s="6"/>
      <c r="B27" s="19">
        <v>22</v>
      </c>
      <c r="C27" s="20"/>
      <c r="D27" s="21"/>
      <c r="E27" s="21"/>
      <c r="F27" s="37"/>
      <c r="G27" s="37"/>
      <c r="H27" s="37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t="15" hidden="1" thickBot="1" x14ac:dyDescent="0.35">
      <c r="A28" s="6"/>
      <c r="B28" s="19">
        <v>23</v>
      </c>
      <c r="C28" s="20"/>
      <c r="D28" s="21"/>
      <c r="E28" s="21"/>
      <c r="F28" s="37"/>
      <c r="G28" s="37"/>
      <c r="H28" s="37"/>
      <c r="I28" s="22"/>
      <c r="J28" s="23">
        <f t="shared" si="1"/>
        <v>0</v>
      </c>
      <c r="K28" s="7"/>
    </row>
    <row r="29" spans="1:23" ht="15" hidden="1" thickBot="1" x14ac:dyDescent="0.35">
      <c r="A29" s="6"/>
      <c r="B29" s="19">
        <v>24</v>
      </c>
      <c r="C29" s="20"/>
      <c r="D29" s="21"/>
      <c r="E29" s="21"/>
      <c r="F29" s="37"/>
      <c r="G29" s="37"/>
      <c r="H29" s="37"/>
      <c r="I29" s="22"/>
      <c r="J29" s="23">
        <f t="shared" si="1"/>
        <v>0</v>
      </c>
      <c r="K29" s="7"/>
    </row>
    <row r="30" spans="1:23" ht="15" hidden="1" thickBot="1" x14ac:dyDescent="0.35">
      <c r="A30" s="6"/>
      <c r="B30" s="19">
        <v>25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ht="15" hidden="1" thickBot="1" x14ac:dyDescent="0.35">
      <c r="A31" s="6"/>
      <c r="B31" s="19">
        <v>26</v>
      </c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hidden="1" thickBot="1" x14ac:dyDescent="0.35">
      <c r="A32" s="6"/>
      <c r="B32" s="19">
        <v>27</v>
      </c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86000</v>
      </c>
      <c r="K33" s="7"/>
      <c r="V33" s="5">
        <f>SUM(V6:V32)</f>
        <v>7</v>
      </c>
      <c r="W33" s="5">
        <f>SUM(W6:W32)</f>
        <v>1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96941DC3-C6E9-49E3-920D-ED8388B96816}"/>
    <hyperlink ref="M1" location="MASTER!A1" display="Back" xr:uid="{66FD9057-FC48-4B57-B416-234261360C04}"/>
  </hyperlinks>
  <pageMargins left="0" right="0" top="0" bottom="0" header="0" footer="0"/>
  <pageSetup paperSize="9" orientation="portrait"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F7884-B737-4FC0-A583-60383E9DBC64}">
  <dimension ref="A1:W34"/>
  <sheetViews>
    <sheetView workbookViewId="0"/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45597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612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8</v>
      </c>
      <c r="O4" s="108">
        <v>7</v>
      </c>
      <c r="P4" s="108">
        <v>1</v>
      </c>
      <c r="Q4" s="110">
        <v>0</v>
      </c>
      <c r="R4" s="94">
        <f>O4/N4</f>
        <v>0.875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45602</v>
      </c>
      <c r="D6" s="16" t="s">
        <v>18</v>
      </c>
      <c r="E6" s="16" t="s">
        <v>694</v>
      </c>
      <c r="F6" s="51">
        <v>400</v>
      </c>
      <c r="G6" s="51">
        <v>468</v>
      </c>
      <c r="H6" s="51">
        <v>68</v>
      </c>
      <c r="I6" s="17">
        <v>100</v>
      </c>
      <c r="J6" s="18">
        <f>H6*I6</f>
        <v>6800</v>
      </c>
      <c r="K6" s="7"/>
      <c r="M6" s="88" t="s">
        <v>19</v>
      </c>
      <c r="N6" s="90">
        <f>SUM(N4:N5)</f>
        <v>8</v>
      </c>
      <c r="O6" s="90">
        <f>SUM(O4:O5)</f>
        <v>7</v>
      </c>
      <c r="P6" s="90">
        <f>SUM(P4:P5)</f>
        <v>1</v>
      </c>
      <c r="Q6" s="92">
        <f>SUM(Q4:Q5)</f>
        <v>0</v>
      </c>
      <c r="R6" s="94">
        <f t="shared" ref="R6" si="0">O6/N6</f>
        <v>0.875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45603</v>
      </c>
      <c r="D7" s="21" t="s">
        <v>18</v>
      </c>
      <c r="E7" s="21" t="s">
        <v>695</v>
      </c>
      <c r="F7" s="37">
        <v>25</v>
      </c>
      <c r="G7" s="37">
        <v>15</v>
      </c>
      <c r="H7" s="37">
        <v>-10</v>
      </c>
      <c r="I7" s="22">
        <v>400</v>
      </c>
      <c r="J7" s="23">
        <f t="shared" ref="J7:J32" si="1">H7*I7</f>
        <v>-4000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0</v>
      </c>
      <c r="W7" s="5">
        <f t="shared" ref="W7:W32" si="3">IF($J7&lt;0,1,0)</f>
        <v>1</v>
      </c>
    </row>
    <row r="8" spans="1:23" x14ac:dyDescent="0.3">
      <c r="A8" s="6"/>
      <c r="B8" s="19">
        <v>3</v>
      </c>
      <c r="C8" s="20">
        <v>45604</v>
      </c>
      <c r="D8" s="21" t="s">
        <v>18</v>
      </c>
      <c r="E8" s="21" t="s">
        <v>696</v>
      </c>
      <c r="F8" s="37">
        <v>195</v>
      </c>
      <c r="G8" s="37">
        <v>399</v>
      </c>
      <c r="H8" s="37">
        <f>399-195</f>
        <v>204</v>
      </c>
      <c r="I8" s="22">
        <v>100</v>
      </c>
      <c r="J8" s="23">
        <f t="shared" si="1"/>
        <v>20400</v>
      </c>
      <c r="K8" s="7"/>
      <c r="M8" s="67" t="s">
        <v>20</v>
      </c>
      <c r="N8" s="68"/>
      <c r="O8" s="69"/>
      <c r="P8" s="76">
        <f>R6</f>
        <v>0.875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45609</v>
      </c>
      <c r="D9" s="21" t="s">
        <v>18</v>
      </c>
      <c r="E9" s="21" t="s">
        <v>697</v>
      </c>
      <c r="F9" s="37">
        <v>120</v>
      </c>
      <c r="G9" s="37">
        <v>235</v>
      </c>
      <c r="H9" s="37">
        <f>235-120</f>
        <v>115</v>
      </c>
      <c r="I9" s="22">
        <v>150</v>
      </c>
      <c r="J9" s="23">
        <f t="shared" si="1"/>
        <v>17250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45617</v>
      </c>
      <c r="D10" s="21" t="s">
        <v>18</v>
      </c>
      <c r="E10" s="21" t="s">
        <v>698</v>
      </c>
      <c r="F10" s="37">
        <v>130</v>
      </c>
      <c r="G10" s="37">
        <v>226</v>
      </c>
      <c r="H10" s="37">
        <f>226-130</f>
        <v>96</v>
      </c>
      <c r="I10" s="22">
        <v>100</v>
      </c>
      <c r="J10" s="23">
        <f t="shared" si="1"/>
        <v>9600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45621</v>
      </c>
      <c r="D11" s="21" t="s">
        <v>18</v>
      </c>
      <c r="E11" s="21" t="s">
        <v>230</v>
      </c>
      <c r="F11" s="37">
        <v>9</v>
      </c>
      <c r="G11" s="37">
        <v>18</v>
      </c>
      <c r="H11" s="37">
        <v>9</v>
      </c>
      <c r="I11" s="22">
        <v>400</v>
      </c>
      <c r="J11" s="23">
        <f t="shared" si="1"/>
        <v>3600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45622</v>
      </c>
      <c r="D12" s="21" t="s">
        <v>18</v>
      </c>
      <c r="E12" s="21" t="s">
        <v>699</v>
      </c>
      <c r="F12" s="37">
        <v>42</v>
      </c>
      <c r="G12" s="37">
        <v>81</v>
      </c>
      <c r="H12" s="37">
        <f>81-42</f>
        <v>39</v>
      </c>
      <c r="I12" s="22">
        <v>150</v>
      </c>
      <c r="J12" s="23">
        <f t="shared" si="1"/>
        <v>5850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45625</v>
      </c>
      <c r="D13" s="21" t="s">
        <v>18</v>
      </c>
      <c r="E13" s="21" t="s">
        <v>700</v>
      </c>
      <c r="F13" s="37">
        <v>20</v>
      </c>
      <c r="G13" s="37">
        <v>24.5</v>
      </c>
      <c r="H13" s="37">
        <v>4.5</v>
      </c>
      <c r="I13" s="22">
        <v>900</v>
      </c>
      <c r="J13" s="23">
        <f t="shared" si="1"/>
        <v>4050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/>
      <c r="D14" s="21"/>
      <c r="E14" s="21"/>
      <c r="F14" s="37"/>
      <c r="G14" s="37"/>
      <c r="H14" s="37"/>
      <c r="I14" s="22"/>
      <c r="J14" s="23">
        <f t="shared" si="1"/>
        <v>0</v>
      </c>
      <c r="K14" s="7"/>
      <c r="M14" s="5" t="s">
        <v>21</v>
      </c>
      <c r="V14" s="5">
        <f t="shared" si="2"/>
        <v>0</v>
      </c>
      <c r="W14" s="5">
        <f t="shared" si="3"/>
        <v>0</v>
      </c>
    </row>
    <row r="15" spans="1:23" x14ac:dyDescent="0.3">
      <c r="A15" s="6"/>
      <c r="B15" s="19">
        <v>10</v>
      </c>
      <c r="C15" s="20"/>
      <c r="D15" s="21"/>
      <c r="E15" s="21"/>
      <c r="F15" s="37"/>
      <c r="G15" s="37"/>
      <c r="H15" s="37"/>
      <c r="I15" s="22"/>
      <c r="J15" s="23">
        <f t="shared" si="1"/>
        <v>0</v>
      </c>
      <c r="K15" s="7"/>
      <c r="V15" s="5">
        <f>IF($J15&gt;0,1,0)</f>
        <v>0</v>
      </c>
      <c r="W15" s="5">
        <f>IF($J15&lt;0,1,0)</f>
        <v>0</v>
      </c>
    </row>
    <row r="16" spans="1:23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t="15" thickBot="1" x14ac:dyDescent="0.35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t="15" hidden="1" thickBot="1" x14ac:dyDescent="0.35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t="15" hidden="1" thickBot="1" x14ac:dyDescent="0.35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t="15" hidden="1" thickBot="1" x14ac:dyDescent="0.35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t="15" hidden="1" thickBot="1" x14ac:dyDescent="0.35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t="15" hidden="1" thickBot="1" x14ac:dyDescent="0.35">
      <c r="A25" s="6"/>
      <c r="B25" s="19">
        <v>20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t="15" hidden="1" thickBot="1" x14ac:dyDescent="0.35">
      <c r="A26" s="6"/>
      <c r="B26" s="19">
        <v>21</v>
      </c>
      <c r="C26" s="20"/>
      <c r="D26" s="21"/>
      <c r="E26" s="21"/>
      <c r="F26" s="37"/>
      <c r="G26" s="37"/>
      <c r="H26" s="37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t="15" hidden="1" thickBot="1" x14ac:dyDescent="0.35">
      <c r="A27" s="6"/>
      <c r="B27" s="19">
        <v>22</v>
      </c>
      <c r="C27" s="20"/>
      <c r="D27" s="21"/>
      <c r="E27" s="21"/>
      <c r="F27" s="37"/>
      <c r="G27" s="37"/>
      <c r="H27" s="37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t="15" hidden="1" thickBot="1" x14ac:dyDescent="0.35">
      <c r="A28" s="6"/>
      <c r="B28" s="19">
        <v>23</v>
      </c>
      <c r="C28" s="20"/>
      <c r="D28" s="21"/>
      <c r="E28" s="21"/>
      <c r="F28" s="37"/>
      <c r="G28" s="37"/>
      <c r="H28" s="37"/>
      <c r="I28" s="22"/>
      <c r="J28" s="23">
        <f t="shared" si="1"/>
        <v>0</v>
      </c>
      <c r="K28" s="7"/>
    </row>
    <row r="29" spans="1:23" ht="15" hidden="1" thickBot="1" x14ac:dyDescent="0.35">
      <c r="A29" s="6"/>
      <c r="B29" s="19">
        <v>24</v>
      </c>
      <c r="C29" s="20"/>
      <c r="D29" s="21"/>
      <c r="E29" s="21"/>
      <c r="F29" s="37"/>
      <c r="G29" s="37"/>
      <c r="H29" s="37"/>
      <c r="I29" s="22"/>
      <c r="J29" s="23">
        <f t="shared" si="1"/>
        <v>0</v>
      </c>
      <c r="K29" s="7"/>
    </row>
    <row r="30" spans="1:23" ht="15" hidden="1" thickBot="1" x14ac:dyDescent="0.35">
      <c r="A30" s="6"/>
      <c r="B30" s="19">
        <v>25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ht="15" hidden="1" thickBot="1" x14ac:dyDescent="0.35">
      <c r="A31" s="6"/>
      <c r="B31" s="19">
        <v>26</v>
      </c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hidden="1" thickBot="1" x14ac:dyDescent="0.35">
      <c r="A32" s="6"/>
      <c r="B32" s="19">
        <v>27</v>
      </c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63550</v>
      </c>
      <c r="K33" s="7"/>
      <c r="V33" s="5">
        <f>SUM(V6:V32)</f>
        <v>7</v>
      </c>
      <c r="W33" s="5">
        <f>SUM(W6:W32)</f>
        <v>1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85C1E28E-23C7-4674-9695-476238EC55CB}"/>
    <hyperlink ref="M1" location="MASTER!A1" display="Back" xr:uid="{04157D98-A95B-45D3-8E6D-14687815A072}"/>
  </hyperlinks>
  <pageMargins left="0" right="0" top="0" bottom="0" header="0" footer="0"/>
  <pageSetup paperSize="9" orientation="portrait"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2870C-F526-41BF-A797-7B3AAAAE70B6}">
  <dimension ref="A1:W34"/>
  <sheetViews>
    <sheetView workbookViewId="0">
      <selection activeCell="N34" sqref="N34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45627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612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10</v>
      </c>
      <c r="O4" s="108">
        <f>V33</f>
        <v>10</v>
      </c>
      <c r="P4" s="108">
        <f>W33</f>
        <v>0</v>
      </c>
      <c r="Q4" s="110">
        <f>N4-O4-P4</f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45628</v>
      </c>
      <c r="D6" s="16" t="s">
        <v>18</v>
      </c>
      <c r="E6" s="16" t="s">
        <v>701</v>
      </c>
      <c r="F6" s="51">
        <v>440</v>
      </c>
      <c r="G6" s="51">
        <v>680</v>
      </c>
      <c r="H6" s="51">
        <f>680-440</f>
        <v>240</v>
      </c>
      <c r="I6" s="17">
        <v>50</v>
      </c>
      <c r="J6" s="18">
        <f>H6*I6</f>
        <v>12000</v>
      </c>
      <c r="K6" s="7"/>
      <c r="M6" s="88" t="s">
        <v>19</v>
      </c>
      <c r="N6" s="90">
        <f>SUM(N4:N5)</f>
        <v>10</v>
      </c>
      <c r="O6" s="90">
        <f>SUM(O4:O5)</f>
        <v>10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45630</v>
      </c>
      <c r="D7" s="21" t="s">
        <v>18</v>
      </c>
      <c r="E7" s="21" t="s">
        <v>702</v>
      </c>
      <c r="F7" s="37">
        <v>550</v>
      </c>
      <c r="G7" s="37">
        <v>635</v>
      </c>
      <c r="H7" s="37">
        <f>635-550</f>
        <v>85</v>
      </c>
      <c r="I7" s="22">
        <v>50</v>
      </c>
      <c r="J7" s="23">
        <f t="shared" ref="J7:J32" si="1">H7*I7</f>
        <v>4250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45631</v>
      </c>
      <c r="D8" s="21" t="s">
        <v>18</v>
      </c>
      <c r="E8" s="21" t="s">
        <v>703</v>
      </c>
      <c r="F8" s="37">
        <v>430</v>
      </c>
      <c r="G8" s="37">
        <v>462</v>
      </c>
      <c r="H8" s="37">
        <f>462-430</f>
        <v>32</v>
      </c>
      <c r="I8" s="22">
        <v>50</v>
      </c>
      <c r="J8" s="23">
        <f t="shared" si="1"/>
        <v>1600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45636</v>
      </c>
      <c r="D9" s="21" t="s">
        <v>18</v>
      </c>
      <c r="E9" s="21" t="s">
        <v>704</v>
      </c>
      <c r="F9" s="37">
        <v>36</v>
      </c>
      <c r="G9" s="37">
        <v>47.65</v>
      </c>
      <c r="H9" s="37">
        <f>47.65-36</f>
        <v>11.649999999999999</v>
      </c>
      <c r="I9" s="22">
        <v>500</v>
      </c>
      <c r="J9" s="23">
        <f t="shared" si="1"/>
        <v>5824.9999999999991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45638</v>
      </c>
      <c r="D10" s="21" t="s">
        <v>18</v>
      </c>
      <c r="E10" s="21" t="s">
        <v>705</v>
      </c>
      <c r="F10" s="37">
        <v>160</v>
      </c>
      <c r="G10" s="37">
        <v>298</v>
      </c>
      <c r="H10" s="37">
        <f>298-160</f>
        <v>138</v>
      </c>
      <c r="I10" s="22">
        <v>75</v>
      </c>
      <c r="J10" s="23">
        <f t="shared" si="1"/>
        <v>10350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45639</v>
      </c>
      <c r="D11" s="21" t="s">
        <v>18</v>
      </c>
      <c r="E11" s="21" t="s">
        <v>702</v>
      </c>
      <c r="F11" s="37">
        <v>600</v>
      </c>
      <c r="G11" s="37">
        <v>1260</v>
      </c>
      <c r="H11" s="37">
        <f>1260-600</f>
        <v>660</v>
      </c>
      <c r="I11" s="22">
        <v>50</v>
      </c>
      <c r="J11" s="23">
        <f t="shared" si="1"/>
        <v>33000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45642</v>
      </c>
      <c r="D12" s="21" t="s">
        <v>18</v>
      </c>
      <c r="E12" s="21" t="s">
        <v>706</v>
      </c>
      <c r="F12" s="37">
        <v>125</v>
      </c>
      <c r="G12" s="37">
        <v>169</v>
      </c>
      <c r="H12" s="37">
        <f>169-125</f>
        <v>44</v>
      </c>
      <c r="I12" s="22">
        <v>100</v>
      </c>
      <c r="J12" s="23">
        <f t="shared" si="1"/>
        <v>4400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45642</v>
      </c>
      <c r="D13" s="21" t="s">
        <v>18</v>
      </c>
      <c r="E13" s="21" t="s">
        <v>707</v>
      </c>
      <c r="F13" s="37">
        <v>18</v>
      </c>
      <c r="G13" s="37">
        <v>23.65</v>
      </c>
      <c r="H13" s="37">
        <v>5.65</v>
      </c>
      <c r="I13" s="22">
        <v>500</v>
      </c>
      <c r="J13" s="23">
        <f t="shared" si="1"/>
        <v>2825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45643</v>
      </c>
      <c r="D14" s="21" t="s">
        <v>18</v>
      </c>
      <c r="E14" s="21" t="s">
        <v>708</v>
      </c>
      <c r="F14" s="37">
        <v>440</v>
      </c>
      <c r="G14" s="37">
        <v>572</v>
      </c>
      <c r="H14" s="37">
        <f>572-440</f>
        <v>132</v>
      </c>
      <c r="I14" s="22">
        <v>50</v>
      </c>
      <c r="J14" s="23">
        <f t="shared" si="1"/>
        <v>6600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45644</v>
      </c>
      <c r="D15" s="21" t="s">
        <v>18</v>
      </c>
      <c r="E15" s="21" t="s">
        <v>709</v>
      </c>
      <c r="F15" s="37">
        <v>38</v>
      </c>
      <c r="G15" s="37">
        <v>65</v>
      </c>
      <c r="H15" s="37">
        <f>65-38</f>
        <v>27</v>
      </c>
      <c r="I15" s="22">
        <v>325</v>
      </c>
      <c r="J15" s="23">
        <f t="shared" si="1"/>
        <v>8775</v>
      </c>
      <c r="K15" s="7"/>
      <c r="V15" s="5">
        <f>IF($J15&gt;0,1,0)</f>
        <v>1</v>
      </c>
      <c r="W15" s="5">
        <f>IF($J15&lt;0,1,0)</f>
        <v>0</v>
      </c>
    </row>
    <row r="16" spans="1:23" x14ac:dyDescent="0.3">
      <c r="A16" s="6"/>
      <c r="B16" s="19">
        <v>11</v>
      </c>
      <c r="C16" s="20"/>
      <c r="D16" s="21"/>
      <c r="E16" s="21"/>
      <c r="F16" s="37"/>
      <c r="G16" s="37"/>
      <c r="H16" s="37"/>
      <c r="I16" s="22"/>
      <c r="J16" s="23">
        <f t="shared" si="1"/>
        <v>0</v>
      </c>
      <c r="K16" s="7"/>
      <c r="V16" s="5">
        <f>IF($J16&gt;0,1,0)</f>
        <v>0</v>
      </c>
      <c r="W16" s="5">
        <f>IF($J16&lt;0,1,0)</f>
        <v>0</v>
      </c>
    </row>
    <row r="17" spans="1:23" x14ac:dyDescent="0.3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t="15" thickBot="1" x14ac:dyDescent="0.35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t="15" hidden="1" thickBot="1" x14ac:dyDescent="0.35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t="15" hidden="1" thickBot="1" x14ac:dyDescent="0.35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t="15" hidden="1" thickBot="1" x14ac:dyDescent="0.35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t="15" hidden="1" thickBot="1" x14ac:dyDescent="0.35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t="15" hidden="1" thickBot="1" x14ac:dyDescent="0.35">
      <c r="A25" s="6"/>
      <c r="B25" s="19">
        <v>20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t="15" hidden="1" thickBot="1" x14ac:dyDescent="0.35">
      <c r="A26" s="6"/>
      <c r="B26" s="19">
        <v>21</v>
      </c>
      <c r="C26" s="20"/>
      <c r="D26" s="21"/>
      <c r="E26" s="21"/>
      <c r="F26" s="37"/>
      <c r="G26" s="37"/>
      <c r="H26" s="37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t="15" hidden="1" thickBot="1" x14ac:dyDescent="0.35">
      <c r="A27" s="6"/>
      <c r="B27" s="19">
        <v>22</v>
      </c>
      <c r="C27" s="20"/>
      <c r="D27" s="21"/>
      <c r="E27" s="21"/>
      <c r="F27" s="37"/>
      <c r="G27" s="37"/>
      <c r="H27" s="37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t="15" hidden="1" thickBot="1" x14ac:dyDescent="0.35">
      <c r="A28" s="6"/>
      <c r="B28" s="19">
        <v>23</v>
      </c>
      <c r="C28" s="20"/>
      <c r="D28" s="21"/>
      <c r="E28" s="21"/>
      <c r="F28" s="37"/>
      <c r="G28" s="37"/>
      <c r="H28" s="37"/>
      <c r="I28" s="22"/>
      <c r="J28" s="23">
        <f t="shared" si="1"/>
        <v>0</v>
      </c>
      <c r="K28" s="7"/>
    </row>
    <row r="29" spans="1:23" ht="15" hidden="1" thickBot="1" x14ac:dyDescent="0.35">
      <c r="A29" s="6"/>
      <c r="B29" s="19">
        <v>24</v>
      </c>
      <c r="C29" s="20"/>
      <c r="D29" s="21"/>
      <c r="E29" s="21"/>
      <c r="F29" s="37"/>
      <c r="G29" s="37"/>
      <c r="H29" s="37"/>
      <c r="I29" s="22"/>
      <c r="J29" s="23">
        <f t="shared" si="1"/>
        <v>0</v>
      </c>
      <c r="K29" s="7"/>
    </row>
    <row r="30" spans="1:23" ht="15" hidden="1" thickBot="1" x14ac:dyDescent="0.35">
      <c r="A30" s="6"/>
      <c r="B30" s="19">
        <v>25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ht="15" hidden="1" thickBot="1" x14ac:dyDescent="0.35">
      <c r="A31" s="6"/>
      <c r="B31" s="19">
        <v>26</v>
      </c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hidden="1" thickBot="1" x14ac:dyDescent="0.35">
      <c r="A32" s="6"/>
      <c r="B32" s="19">
        <v>27</v>
      </c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89625</v>
      </c>
      <c r="K33" s="7"/>
      <c r="V33" s="5">
        <f>SUM(V6:V32)</f>
        <v>10</v>
      </c>
      <c r="W33" s="5">
        <f>SUM(W6:W32)</f>
        <v>0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3:H33"/>
    <mergeCell ref="M6:M7"/>
    <mergeCell ref="N6:N7"/>
    <mergeCell ref="O6:O7"/>
    <mergeCell ref="P6:P7"/>
    <mergeCell ref="Q6:Q7"/>
    <mergeCell ref="R6:R7"/>
  </mergeCells>
  <hyperlinks>
    <hyperlink ref="B33" r:id="rId1" xr:uid="{5CADAF1F-5332-4245-8002-6D794805A69E}"/>
    <hyperlink ref="M1" location="MASTER!A1" display="Back" xr:uid="{EF6C9678-5F4E-4A2B-8A1C-3B74D0AE01CE}"/>
  </hyperlinks>
  <pageMargins left="0" right="0" top="0" bottom="0" header="0" footer="0"/>
  <pageSetup paperSize="9" orientation="portrait"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09A1-FB63-4892-A6E3-9129878838A4}">
  <dimension ref="A1:W34"/>
  <sheetViews>
    <sheetView workbookViewId="0">
      <selection activeCell="F6" sqref="F6:F19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45658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612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14</v>
      </c>
      <c r="O4" s="108">
        <f>V33</f>
        <v>14</v>
      </c>
      <c r="P4" s="108">
        <f>W33</f>
        <v>0</v>
      </c>
      <c r="Q4" s="110">
        <f>N4-O4-P4</f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16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45658</v>
      </c>
      <c r="D6" s="16" t="s">
        <v>18</v>
      </c>
      <c r="E6" s="16" t="s">
        <v>710</v>
      </c>
      <c r="F6" s="51">
        <v>330</v>
      </c>
      <c r="G6" s="51">
        <v>375</v>
      </c>
      <c r="H6" s="51">
        <f>375-330</f>
        <v>45</v>
      </c>
      <c r="I6" s="17">
        <v>50</v>
      </c>
      <c r="J6" s="18">
        <f>H6*I6</f>
        <v>2250</v>
      </c>
      <c r="K6" s="7"/>
      <c r="M6" s="88" t="s">
        <v>19</v>
      </c>
      <c r="N6" s="90">
        <f>SUM(N4:N5)</f>
        <v>14</v>
      </c>
      <c r="O6" s="90">
        <f>SUM(O4:O5)</f>
        <v>14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45663</v>
      </c>
      <c r="D7" s="21" t="s">
        <v>18</v>
      </c>
      <c r="E7" s="21" t="s">
        <v>711</v>
      </c>
      <c r="F7" s="37">
        <v>400</v>
      </c>
      <c r="G7" s="37">
        <v>510</v>
      </c>
      <c r="H7" s="37">
        <v>110</v>
      </c>
      <c r="I7" s="22">
        <v>50</v>
      </c>
      <c r="J7" s="23">
        <f t="shared" ref="J7:J32" si="1">H7*I7</f>
        <v>5500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45666</v>
      </c>
      <c r="D8" s="21" t="s">
        <v>18</v>
      </c>
      <c r="E8" s="21" t="s">
        <v>712</v>
      </c>
      <c r="F8" s="37">
        <v>285</v>
      </c>
      <c r="G8" s="37">
        <v>366</v>
      </c>
      <c r="H8" s="37">
        <f>366-285</f>
        <v>81</v>
      </c>
      <c r="I8" s="22">
        <v>75</v>
      </c>
      <c r="J8" s="23">
        <f t="shared" si="1"/>
        <v>6075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45670</v>
      </c>
      <c r="D9" s="21" t="s">
        <v>18</v>
      </c>
      <c r="E9" s="21" t="s">
        <v>713</v>
      </c>
      <c r="F9" s="37">
        <v>15.5</v>
      </c>
      <c r="G9" s="37">
        <v>25</v>
      </c>
      <c r="H9" s="37">
        <f>25-15.5</f>
        <v>9.5</v>
      </c>
      <c r="I9" s="22">
        <v>1000</v>
      </c>
      <c r="J9" s="23">
        <f t="shared" si="1"/>
        <v>9500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45671</v>
      </c>
      <c r="D10" s="21" t="s">
        <v>18</v>
      </c>
      <c r="E10" s="21" t="s">
        <v>714</v>
      </c>
      <c r="F10" s="37">
        <v>80</v>
      </c>
      <c r="G10" s="37">
        <v>150</v>
      </c>
      <c r="H10" s="37">
        <f>150-80</f>
        <v>70</v>
      </c>
      <c r="I10" s="22">
        <v>150</v>
      </c>
      <c r="J10" s="23">
        <f t="shared" si="1"/>
        <v>10500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45673</v>
      </c>
      <c r="D11" s="21" t="s">
        <v>18</v>
      </c>
      <c r="E11" s="21" t="s">
        <v>715</v>
      </c>
      <c r="F11" s="37">
        <v>400</v>
      </c>
      <c r="G11" s="37">
        <v>570</v>
      </c>
      <c r="H11" s="37">
        <v>170</v>
      </c>
      <c r="I11" s="22">
        <v>50</v>
      </c>
      <c r="J11" s="23">
        <f t="shared" si="1"/>
        <v>8500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45674</v>
      </c>
      <c r="D12" s="21" t="s">
        <v>18</v>
      </c>
      <c r="E12" s="21" t="s">
        <v>716</v>
      </c>
      <c r="F12" s="37">
        <v>220</v>
      </c>
      <c r="G12" s="37">
        <v>261</v>
      </c>
      <c r="H12" s="37">
        <f>261-220</f>
        <v>41</v>
      </c>
      <c r="I12" s="22">
        <v>100</v>
      </c>
      <c r="J12" s="23">
        <f t="shared" si="1"/>
        <v>4100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45678</v>
      </c>
      <c r="D13" s="21" t="s">
        <v>18</v>
      </c>
      <c r="E13" s="21" t="s">
        <v>717</v>
      </c>
      <c r="F13" s="37">
        <v>420</v>
      </c>
      <c r="G13" s="37">
        <v>475</v>
      </c>
      <c r="H13" s="37">
        <f>475-420</f>
        <v>55</v>
      </c>
      <c r="I13" s="22">
        <v>50</v>
      </c>
      <c r="J13" s="23">
        <f t="shared" si="1"/>
        <v>2750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45679</v>
      </c>
      <c r="D14" s="21" t="s">
        <v>18</v>
      </c>
      <c r="E14" s="21" t="s">
        <v>718</v>
      </c>
      <c r="F14" s="37">
        <v>27</v>
      </c>
      <c r="G14" s="37">
        <v>46.4</v>
      </c>
      <c r="H14" s="37">
        <f>46.4-27</f>
        <v>19.399999999999999</v>
      </c>
      <c r="I14" s="22">
        <v>450</v>
      </c>
      <c r="J14" s="23">
        <f t="shared" si="1"/>
        <v>8730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45680</v>
      </c>
      <c r="D15" s="21" t="s">
        <v>18</v>
      </c>
      <c r="E15" s="21" t="s">
        <v>719</v>
      </c>
      <c r="F15" s="37">
        <v>170</v>
      </c>
      <c r="G15" s="37">
        <v>218</v>
      </c>
      <c r="H15" s="37">
        <f>218-170</f>
        <v>48</v>
      </c>
      <c r="I15" s="22">
        <v>75</v>
      </c>
      <c r="J15" s="23">
        <f t="shared" si="1"/>
        <v>3600</v>
      </c>
      <c r="K15" s="7"/>
      <c r="V15" s="5">
        <f>IF($J15&gt;0,1,0)</f>
        <v>1</v>
      </c>
      <c r="W15" s="5">
        <f>IF($J15&lt;0,1,0)</f>
        <v>0</v>
      </c>
    </row>
    <row r="16" spans="1:23" x14ac:dyDescent="0.3">
      <c r="A16" s="6"/>
      <c r="B16" s="19">
        <v>11</v>
      </c>
      <c r="C16" s="20">
        <v>45681</v>
      </c>
      <c r="D16" s="21" t="s">
        <v>18</v>
      </c>
      <c r="E16" s="21" t="s">
        <v>720</v>
      </c>
      <c r="F16" s="37">
        <v>90</v>
      </c>
      <c r="G16" s="37">
        <v>192</v>
      </c>
      <c r="H16" s="37">
        <f>192-90</f>
        <v>102</v>
      </c>
      <c r="I16" s="22">
        <v>100</v>
      </c>
      <c r="J16" s="23">
        <f t="shared" si="1"/>
        <v>10200</v>
      </c>
      <c r="K16" s="7"/>
      <c r="V16" s="5">
        <f>IF($J16&gt;0,1,0)</f>
        <v>1</v>
      </c>
      <c r="W16" s="5">
        <f>IF($J16&lt;0,1,0)</f>
        <v>0</v>
      </c>
    </row>
    <row r="17" spans="1:23" x14ac:dyDescent="0.3">
      <c r="A17" s="6"/>
      <c r="B17" s="19">
        <v>12</v>
      </c>
      <c r="C17" s="20">
        <v>45684</v>
      </c>
      <c r="D17" s="21" t="s">
        <v>18</v>
      </c>
      <c r="E17" s="21" t="s">
        <v>721</v>
      </c>
      <c r="F17" s="37">
        <v>9</v>
      </c>
      <c r="G17" s="37">
        <v>20</v>
      </c>
      <c r="H17" s="37">
        <f>20-9</f>
        <v>11</v>
      </c>
      <c r="I17" s="22">
        <v>400</v>
      </c>
      <c r="J17" s="23">
        <f t="shared" si="1"/>
        <v>4400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19">
        <v>13</v>
      </c>
      <c r="C18" s="20">
        <v>45685</v>
      </c>
      <c r="D18" s="21" t="s">
        <v>18</v>
      </c>
      <c r="E18" s="21" t="s">
        <v>722</v>
      </c>
      <c r="F18" s="37">
        <v>22</v>
      </c>
      <c r="G18" s="37">
        <v>28.35</v>
      </c>
      <c r="H18" s="37">
        <v>6.35</v>
      </c>
      <c r="I18" s="22">
        <v>150</v>
      </c>
      <c r="J18" s="23">
        <f t="shared" si="1"/>
        <v>952.5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9">
        <v>14</v>
      </c>
      <c r="C19" s="20">
        <v>45688</v>
      </c>
      <c r="D19" s="21" t="s">
        <v>18</v>
      </c>
      <c r="E19" s="21" t="s">
        <v>723</v>
      </c>
      <c r="F19" s="37">
        <v>68</v>
      </c>
      <c r="G19" s="37">
        <v>87.4</v>
      </c>
      <c r="H19" s="37">
        <f>87.4-68</f>
        <v>19.400000000000006</v>
      </c>
      <c r="I19" s="22">
        <v>350</v>
      </c>
      <c r="J19" s="23">
        <f t="shared" si="1"/>
        <v>6790.0000000000018</v>
      </c>
      <c r="K19" s="7"/>
      <c r="V19" s="5">
        <f t="shared" si="2"/>
        <v>1</v>
      </c>
      <c r="W19" s="5">
        <f t="shared" si="3"/>
        <v>0</v>
      </c>
    </row>
    <row r="20" spans="1:23" ht="15" thickBot="1" x14ac:dyDescent="0.35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t="15" hidden="1" thickBot="1" x14ac:dyDescent="0.35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t="15" hidden="1" thickBot="1" x14ac:dyDescent="0.35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t="15" hidden="1" thickBot="1" x14ac:dyDescent="0.35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t="15" hidden="1" thickBot="1" x14ac:dyDescent="0.35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t="15" hidden="1" thickBot="1" x14ac:dyDescent="0.35">
      <c r="A25" s="6"/>
      <c r="B25" s="19">
        <v>20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t="15" hidden="1" thickBot="1" x14ac:dyDescent="0.35">
      <c r="A26" s="6"/>
      <c r="B26" s="19">
        <v>21</v>
      </c>
      <c r="C26" s="20"/>
      <c r="D26" s="21"/>
      <c r="E26" s="21"/>
      <c r="F26" s="37"/>
      <c r="G26" s="37"/>
      <c r="H26" s="37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t="15" hidden="1" thickBot="1" x14ac:dyDescent="0.35">
      <c r="A27" s="6"/>
      <c r="B27" s="19">
        <v>22</v>
      </c>
      <c r="C27" s="20"/>
      <c r="D27" s="21"/>
      <c r="E27" s="21"/>
      <c r="F27" s="37"/>
      <c r="G27" s="37"/>
      <c r="H27" s="37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t="15" hidden="1" thickBot="1" x14ac:dyDescent="0.35">
      <c r="A28" s="6"/>
      <c r="B28" s="19">
        <v>23</v>
      </c>
      <c r="C28" s="20"/>
      <c r="D28" s="21"/>
      <c r="E28" s="21"/>
      <c r="F28" s="37"/>
      <c r="G28" s="37"/>
      <c r="H28" s="37"/>
      <c r="I28" s="22"/>
      <c r="J28" s="23">
        <f t="shared" si="1"/>
        <v>0</v>
      </c>
      <c r="K28" s="7"/>
    </row>
    <row r="29" spans="1:23" ht="15" hidden="1" thickBot="1" x14ac:dyDescent="0.35">
      <c r="A29" s="6"/>
      <c r="B29" s="19">
        <v>24</v>
      </c>
      <c r="C29" s="20"/>
      <c r="D29" s="21"/>
      <c r="E29" s="21"/>
      <c r="F29" s="37"/>
      <c r="G29" s="37"/>
      <c r="H29" s="37"/>
      <c r="I29" s="22"/>
      <c r="J29" s="23">
        <f t="shared" si="1"/>
        <v>0</v>
      </c>
      <c r="K29" s="7"/>
    </row>
    <row r="30" spans="1:23" ht="15" hidden="1" thickBot="1" x14ac:dyDescent="0.35">
      <c r="A30" s="6"/>
      <c r="B30" s="19">
        <v>25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ht="15" hidden="1" thickBot="1" x14ac:dyDescent="0.35">
      <c r="A31" s="6"/>
      <c r="B31" s="19">
        <v>26</v>
      </c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hidden="1" thickBot="1" x14ac:dyDescent="0.35">
      <c r="A32" s="6"/>
      <c r="B32" s="19">
        <v>27</v>
      </c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83847.5</v>
      </c>
      <c r="K33" s="7"/>
      <c r="V33" s="5">
        <f>SUM(V6:V32)</f>
        <v>14</v>
      </c>
      <c r="W33" s="5">
        <f>SUM(W6:W32)</f>
        <v>0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3:H33"/>
    <mergeCell ref="M6:M7"/>
    <mergeCell ref="N6:N7"/>
    <mergeCell ref="O6:O7"/>
    <mergeCell ref="P6:P7"/>
    <mergeCell ref="Q6:Q7"/>
    <mergeCell ref="R6:R7"/>
  </mergeCells>
  <hyperlinks>
    <hyperlink ref="B33" r:id="rId1" xr:uid="{931F4029-4409-41D9-9D5A-FF83CDD104EB}"/>
    <hyperlink ref="M1" location="MASTER!A1" display="Back" xr:uid="{E86D5F83-E182-4D1D-8AFF-B178D078CB04}"/>
  </hyperlinks>
  <pageMargins left="0" right="0" top="0" bottom="0" header="0" footer="0"/>
  <pageSetup paperSize="9" orientation="portrait"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F2220-B9CB-4489-8C29-0AE71D466B05}">
  <dimension ref="A1:W34"/>
  <sheetViews>
    <sheetView workbookViewId="0">
      <selection activeCell="G17" sqref="G17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45689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612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16</v>
      </c>
      <c r="O4" s="108">
        <f>V33</f>
        <v>15</v>
      </c>
      <c r="P4" s="108">
        <f>W33</f>
        <v>1</v>
      </c>
      <c r="Q4" s="110">
        <f>N4-O4-P4</f>
        <v>0</v>
      </c>
      <c r="R4" s="94">
        <f>O4/N4</f>
        <v>0.9375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730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45689</v>
      </c>
      <c r="D6" s="16" t="s">
        <v>18</v>
      </c>
      <c r="E6" s="16" t="s">
        <v>724</v>
      </c>
      <c r="F6" s="51">
        <v>330</v>
      </c>
      <c r="G6" s="51">
        <v>360</v>
      </c>
      <c r="H6" s="51">
        <v>30</v>
      </c>
      <c r="I6" s="17">
        <v>50</v>
      </c>
      <c r="J6" s="18">
        <f>H6*I6</f>
        <v>1500</v>
      </c>
      <c r="K6" s="7"/>
      <c r="M6" s="88" t="s">
        <v>19</v>
      </c>
      <c r="N6" s="90">
        <f>SUM(N4:N5)</f>
        <v>16</v>
      </c>
      <c r="O6" s="90">
        <f>SUM(O4:O5)</f>
        <v>15</v>
      </c>
      <c r="P6" s="90">
        <f>SUM(P4:P5)</f>
        <v>1</v>
      </c>
      <c r="Q6" s="92">
        <f>SUM(Q4:Q5)</f>
        <v>0</v>
      </c>
      <c r="R6" s="94">
        <f t="shared" ref="R6" si="0">O6/N6</f>
        <v>0.9375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45691</v>
      </c>
      <c r="D7" s="21" t="s">
        <v>18</v>
      </c>
      <c r="E7" s="21" t="s">
        <v>725</v>
      </c>
      <c r="F7" s="37">
        <v>7</v>
      </c>
      <c r="G7" s="37">
        <v>10.25</v>
      </c>
      <c r="H7" s="37">
        <f>10.25-7</f>
        <v>3.25</v>
      </c>
      <c r="I7" s="22">
        <v>2000</v>
      </c>
      <c r="J7" s="23">
        <f t="shared" ref="J7:J32" si="1">H7*I7</f>
        <v>6500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45692</v>
      </c>
      <c r="D8" s="21" t="s">
        <v>18</v>
      </c>
      <c r="E8" s="21" t="s">
        <v>726</v>
      </c>
      <c r="F8" s="37">
        <v>40</v>
      </c>
      <c r="G8" s="37">
        <v>62</v>
      </c>
      <c r="H8" s="37">
        <f>62-40</f>
        <v>22</v>
      </c>
      <c r="I8" s="22">
        <v>450</v>
      </c>
      <c r="J8" s="23">
        <f t="shared" si="1"/>
        <v>9900</v>
      </c>
      <c r="K8" s="7"/>
      <c r="M8" s="67" t="s">
        <v>20</v>
      </c>
      <c r="N8" s="68"/>
      <c r="O8" s="69"/>
      <c r="P8" s="76">
        <f>R6</f>
        <v>0.9375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45694</v>
      </c>
      <c r="D9" s="21" t="s">
        <v>18</v>
      </c>
      <c r="E9" s="21" t="s">
        <v>727</v>
      </c>
      <c r="F9" s="37">
        <v>160</v>
      </c>
      <c r="G9" s="37">
        <v>110</v>
      </c>
      <c r="H9" s="37">
        <v>-50</v>
      </c>
      <c r="I9" s="22">
        <v>100</v>
      </c>
      <c r="J9" s="23">
        <f t="shared" si="1"/>
        <v>-5000</v>
      </c>
      <c r="K9" s="7"/>
      <c r="M9" s="70"/>
      <c r="N9" s="71"/>
      <c r="O9" s="72"/>
      <c r="P9" s="79"/>
      <c r="Q9" s="80"/>
      <c r="R9" s="81"/>
      <c r="V9" s="5">
        <f t="shared" si="2"/>
        <v>0</v>
      </c>
      <c r="W9" s="5">
        <f t="shared" si="3"/>
        <v>1</v>
      </c>
    </row>
    <row r="10" spans="1:23" ht="15" thickBot="1" x14ac:dyDescent="0.35">
      <c r="A10" s="6"/>
      <c r="B10" s="19">
        <v>5</v>
      </c>
      <c r="C10" s="20">
        <v>45700</v>
      </c>
      <c r="D10" s="21" t="s">
        <v>18</v>
      </c>
      <c r="E10" s="21" t="s">
        <v>728</v>
      </c>
      <c r="F10" s="37">
        <v>90</v>
      </c>
      <c r="G10" s="37">
        <v>131.85</v>
      </c>
      <c r="H10" s="37">
        <f>131.85-90</f>
        <v>41.849999999999994</v>
      </c>
      <c r="I10" s="22">
        <v>200</v>
      </c>
      <c r="J10" s="23">
        <f t="shared" si="1"/>
        <v>8369.9999999999982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45701</v>
      </c>
      <c r="D11" s="21" t="s">
        <v>18</v>
      </c>
      <c r="E11" s="21" t="s">
        <v>729</v>
      </c>
      <c r="F11" s="37">
        <v>105</v>
      </c>
      <c r="G11" s="37">
        <v>117</v>
      </c>
      <c r="H11" s="37">
        <f>117-105</f>
        <v>12</v>
      </c>
      <c r="I11" s="22">
        <v>150</v>
      </c>
      <c r="J11" s="23">
        <f t="shared" si="1"/>
        <v>1800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45702</v>
      </c>
      <c r="D12" s="21" t="s">
        <v>18</v>
      </c>
      <c r="E12" s="21" t="s">
        <v>687</v>
      </c>
      <c r="F12" s="37">
        <v>430</v>
      </c>
      <c r="G12" s="37">
        <v>554</v>
      </c>
      <c r="H12" s="37">
        <f>554-430</f>
        <v>124</v>
      </c>
      <c r="I12" s="22">
        <v>50</v>
      </c>
      <c r="J12" s="23">
        <f t="shared" si="1"/>
        <v>6200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45706</v>
      </c>
      <c r="D13" s="21" t="s">
        <v>18</v>
      </c>
      <c r="E13" s="21" t="s">
        <v>731</v>
      </c>
      <c r="F13" s="37">
        <v>100</v>
      </c>
      <c r="G13" s="37">
        <v>158</v>
      </c>
      <c r="H13" s="37">
        <v>58</v>
      </c>
      <c r="I13" s="22">
        <v>150</v>
      </c>
      <c r="J13" s="23">
        <f t="shared" si="1"/>
        <v>8700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45707</v>
      </c>
      <c r="D14" s="21" t="s">
        <v>18</v>
      </c>
      <c r="E14" s="21" t="s">
        <v>732</v>
      </c>
      <c r="F14" s="37">
        <v>30</v>
      </c>
      <c r="G14" s="37">
        <v>61</v>
      </c>
      <c r="H14" s="37">
        <f>61-30</f>
        <v>31</v>
      </c>
      <c r="I14" s="22">
        <v>350</v>
      </c>
      <c r="J14" s="23">
        <f t="shared" si="1"/>
        <v>10850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45708</v>
      </c>
      <c r="D15" s="21" t="s">
        <v>18</v>
      </c>
      <c r="E15" s="21" t="s">
        <v>733</v>
      </c>
      <c r="F15" s="37">
        <v>22</v>
      </c>
      <c r="G15" s="37">
        <v>44</v>
      </c>
      <c r="H15" s="37">
        <f>44-22</f>
        <v>22</v>
      </c>
      <c r="I15" s="22">
        <v>500</v>
      </c>
      <c r="J15" s="23">
        <f t="shared" si="1"/>
        <v>11000</v>
      </c>
      <c r="K15" s="7"/>
      <c r="V15" s="5">
        <f>IF($J15&gt;0,1,0)</f>
        <v>1</v>
      </c>
      <c r="W15" s="5">
        <f>IF($J15&lt;0,1,0)</f>
        <v>0</v>
      </c>
    </row>
    <row r="16" spans="1:23" x14ac:dyDescent="0.3">
      <c r="A16" s="6"/>
      <c r="B16" s="19">
        <v>11</v>
      </c>
      <c r="C16" s="20">
        <v>45710</v>
      </c>
      <c r="D16" s="21" t="s">
        <v>18</v>
      </c>
      <c r="E16" s="21" t="s">
        <v>734</v>
      </c>
      <c r="F16" s="37">
        <v>250</v>
      </c>
      <c r="G16" s="37">
        <v>356</v>
      </c>
      <c r="H16" s="37">
        <f>356-250</f>
        <v>106</v>
      </c>
      <c r="I16" s="22">
        <v>20</v>
      </c>
      <c r="J16" s="23">
        <f t="shared" si="1"/>
        <v>2120</v>
      </c>
      <c r="K16" s="7"/>
      <c r="V16" s="5">
        <f>IF($J16&gt;0,1,0)</f>
        <v>1</v>
      </c>
      <c r="W16" s="5">
        <f>IF($J16&lt;0,1,0)</f>
        <v>0</v>
      </c>
    </row>
    <row r="17" spans="1:23" x14ac:dyDescent="0.3">
      <c r="A17" s="6"/>
      <c r="B17" s="19">
        <v>12</v>
      </c>
      <c r="C17" s="20">
        <v>45712</v>
      </c>
      <c r="D17" s="21" t="s">
        <v>18</v>
      </c>
      <c r="E17" s="21" t="s">
        <v>735</v>
      </c>
      <c r="F17" s="37">
        <v>8</v>
      </c>
      <c r="G17" s="37">
        <v>12.55</v>
      </c>
      <c r="H17" s="37">
        <f>12.5-8</f>
        <v>4.5</v>
      </c>
      <c r="I17" s="22">
        <v>475</v>
      </c>
      <c r="J17" s="23">
        <f t="shared" si="1"/>
        <v>2137.5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19">
        <v>13</v>
      </c>
      <c r="C18" s="20">
        <v>45713</v>
      </c>
      <c r="D18" s="21" t="s">
        <v>18</v>
      </c>
      <c r="E18" s="21" t="s">
        <v>736</v>
      </c>
      <c r="F18" s="37">
        <v>115</v>
      </c>
      <c r="G18" s="37">
        <v>304</v>
      </c>
      <c r="H18" s="37">
        <f>304-115</f>
        <v>189</v>
      </c>
      <c r="I18" s="22">
        <v>125</v>
      </c>
      <c r="J18" s="23">
        <f t="shared" si="1"/>
        <v>23625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9">
        <v>14</v>
      </c>
      <c r="C19" s="20">
        <v>45716</v>
      </c>
      <c r="D19" s="21" t="s">
        <v>18</v>
      </c>
      <c r="E19" s="21" t="s">
        <v>737</v>
      </c>
      <c r="F19" s="37">
        <v>280</v>
      </c>
      <c r="G19" s="37">
        <v>357</v>
      </c>
      <c r="H19" s="37">
        <f>357-280</f>
        <v>77</v>
      </c>
      <c r="I19" s="22">
        <v>50</v>
      </c>
      <c r="J19" s="23">
        <f t="shared" si="1"/>
        <v>3850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19">
        <v>15</v>
      </c>
      <c r="C20" s="20">
        <v>45716</v>
      </c>
      <c r="D20" s="21" t="s">
        <v>18</v>
      </c>
      <c r="E20" s="21" t="s">
        <v>738</v>
      </c>
      <c r="F20" s="37">
        <v>32</v>
      </c>
      <c r="G20" s="37">
        <v>44</v>
      </c>
      <c r="H20" s="37">
        <f>44-32</f>
        <v>12</v>
      </c>
      <c r="I20" s="22">
        <v>750</v>
      </c>
      <c r="J20" s="23">
        <f t="shared" si="1"/>
        <v>9000</v>
      </c>
      <c r="K20" s="7"/>
      <c r="V20" s="5">
        <f t="shared" si="2"/>
        <v>1</v>
      </c>
      <c r="W20" s="5">
        <f t="shared" si="3"/>
        <v>0</v>
      </c>
    </row>
    <row r="21" spans="1:23" ht="15" thickBot="1" x14ac:dyDescent="0.35">
      <c r="A21" s="6"/>
      <c r="B21" s="19">
        <v>16</v>
      </c>
      <c r="C21" s="20">
        <v>45716</v>
      </c>
      <c r="D21" s="21" t="s">
        <v>18</v>
      </c>
      <c r="E21" s="21" t="s">
        <v>739</v>
      </c>
      <c r="F21" s="37">
        <v>190</v>
      </c>
      <c r="G21" s="37">
        <v>240</v>
      </c>
      <c r="H21" s="37">
        <f>240-190</f>
        <v>50</v>
      </c>
      <c r="I21" s="22">
        <v>50</v>
      </c>
      <c r="J21" s="23">
        <f t="shared" si="1"/>
        <v>2500</v>
      </c>
      <c r="K21" s="7"/>
      <c r="O21" s="24"/>
      <c r="P21" s="24"/>
      <c r="Q21" s="24"/>
      <c r="R21" s="24"/>
      <c r="V21" s="5">
        <f t="shared" si="2"/>
        <v>1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37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37"/>
      <c r="G27" s="37"/>
      <c r="H27" s="37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idden="1" x14ac:dyDescent="0.3">
      <c r="A28" s="6"/>
      <c r="B28" s="19">
        <v>23</v>
      </c>
      <c r="C28" s="20"/>
      <c r="D28" s="21"/>
      <c r="E28" s="21"/>
      <c r="F28" s="37"/>
      <c r="G28" s="37"/>
      <c r="H28" s="37"/>
      <c r="I28" s="22"/>
      <c r="J28" s="23">
        <f t="shared" si="1"/>
        <v>0</v>
      </c>
      <c r="K28" s="7"/>
    </row>
    <row r="29" spans="1:23" hidden="1" x14ac:dyDescent="0.3">
      <c r="A29" s="6"/>
      <c r="B29" s="19">
        <v>24</v>
      </c>
      <c r="C29" s="20"/>
      <c r="D29" s="21"/>
      <c r="E29" s="21"/>
      <c r="F29" s="37"/>
      <c r="G29" s="37"/>
      <c r="H29" s="37"/>
      <c r="I29" s="22"/>
      <c r="J29" s="23">
        <f t="shared" si="1"/>
        <v>0</v>
      </c>
      <c r="K29" s="7"/>
    </row>
    <row r="30" spans="1:23" hidden="1" x14ac:dyDescent="0.3">
      <c r="A30" s="6"/>
      <c r="B30" s="19">
        <v>25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hidden="1" x14ac:dyDescent="0.3">
      <c r="A31" s="6"/>
      <c r="B31" s="19">
        <v>26</v>
      </c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hidden="1" thickBot="1" x14ac:dyDescent="0.35">
      <c r="A32" s="6"/>
      <c r="B32" s="19">
        <v>27</v>
      </c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103052.5</v>
      </c>
      <c r="K33" s="7"/>
      <c r="V33" s="5">
        <f>SUM(V6:V32)</f>
        <v>15</v>
      </c>
      <c r="W33" s="5">
        <f>SUM(W6:W32)</f>
        <v>1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3:H33"/>
    <mergeCell ref="M6:M7"/>
    <mergeCell ref="N6:N7"/>
    <mergeCell ref="O6:O7"/>
    <mergeCell ref="P6:P7"/>
    <mergeCell ref="Q6:Q7"/>
    <mergeCell ref="R6:R7"/>
  </mergeCells>
  <hyperlinks>
    <hyperlink ref="B33" r:id="rId1" xr:uid="{F380CA72-FA22-4DFA-B2A9-50FADDDCA909}"/>
    <hyperlink ref="M1" location="MASTER!A1" display="Back" xr:uid="{A500DB5F-7665-461F-BAC7-6BA44507F197}"/>
  </hyperlinks>
  <pageMargins left="0" right="0" top="0" bottom="0" header="0" footer="0"/>
  <pageSetup paperSize="9" orientation="portrait"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07FC8-7E3A-47A0-9B80-DC6DEB66997C}">
  <dimension ref="A1:W34"/>
  <sheetViews>
    <sheetView workbookViewId="0">
      <selection activeCell="H35" sqref="H35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45717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612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13</v>
      </c>
      <c r="O4" s="108">
        <f>V33</f>
        <v>11</v>
      </c>
      <c r="P4" s="108">
        <f>W33</f>
        <v>2</v>
      </c>
      <c r="Q4" s="110">
        <f>N4-O4-P4</f>
        <v>0</v>
      </c>
      <c r="R4" s="94">
        <f>O4/N4</f>
        <v>0.84615384615384615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730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45719</v>
      </c>
      <c r="D6" s="16" t="s">
        <v>18</v>
      </c>
      <c r="E6" s="16" t="s">
        <v>740</v>
      </c>
      <c r="F6" s="51">
        <v>120</v>
      </c>
      <c r="G6" s="51">
        <v>155.65</v>
      </c>
      <c r="H6" s="51">
        <f>155.65-120</f>
        <v>35.650000000000006</v>
      </c>
      <c r="I6" s="17">
        <v>200</v>
      </c>
      <c r="J6" s="18">
        <f>H6*I6</f>
        <v>7130.0000000000009</v>
      </c>
      <c r="K6" s="7"/>
      <c r="M6" s="88" t="s">
        <v>19</v>
      </c>
      <c r="N6" s="90">
        <f>SUM(N4:N5)</f>
        <v>13</v>
      </c>
      <c r="O6" s="90">
        <f>SUM(O4:O5)</f>
        <v>11</v>
      </c>
      <c r="P6" s="90">
        <f>SUM(P4:P5)</f>
        <v>2</v>
      </c>
      <c r="Q6" s="92">
        <f>SUM(Q4:Q5)</f>
        <v>0</v>
      </c>
      <c r="R6" s="94">
        <f t="shared" ref="R6" si="0">O6/N6</f>
        <v>0.84615384615384615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45720</v>
      </c>
      <c r="D7" s="21" t="s">
        <v>18</v>
      </c>
      <c r="E7" s="21" t="s">
        <v>741</v>
      </c>
      <c r="F7" s="37">
        <v>80</v>
      </c>
      <c r="G7" s="37">
        <v>50</v>
      </c>
      <c r="H7" s="37">
        <v>-30</v>
      </c>
      <c r="I7" s="22">
        <v>375</v>
      </c>
      <c r="J7" s="23">
        <f t="shared" ref="J7:J32" si="1">H7*I7</f>
        <v>-11250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0</v>
      </c>
      <c r="W7" s="5">
        <f t="shared" ref="W7:W32" si="3">IF($J7&lt;0,1,0)</f>
        <v>1</v>
      </c>
    </row>
    <row r="8" spans="1:23" x14ac:dyDescent="0.3">
      <c r="A8" s="6"/>
      <c r="B8" s="19">
        <v>3</v>
      </c>
      <c r="C8" s="20">
        <v>45722</v>
      </c>
      <c r="D8" s="21" t="s">
        <v>18</v>
      </c>
      <c r="E8" s="21" t="s">
        <v>681</v>
      </c>
      <c r="F8" s="37">
        <v>400</v>
      </c>
      <c r="G8" s="37">
        <v>580</v>
      </c>
      <c r="H8" s="37">
        <v>180</v>
      </c>
      <c r="I8" s="22">
        <v>50</v>
      </c>
      <c r="J8" s="23">
        <f t="shared" si="1"/>
        <v>9000</v>
      </c>
      <c r="K8" s="7"/>
      <c r="M8" s="67" t="s">
        <v>20</v>
      </c>
      <c r="N8" s="68"/>
      <c r="O8" s="69"/>
      <c r="P8" s="76">
        <f>R6</f>
        <v>0.84615384615384615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45727</v>
      </c>
      <c r="D9" s="21" t="s">
        <v>18</v>
      </c>
      <c r="E9" s="21" t="s">
        <v>742</v>
      </c>
      <c r="F9" s="37">
        <v>170</v>
      </c>
      <c r="G9" s="37">
        <v>346</v>
      </c>
      <c r="H9" s="37">
        <f>346-170</f>
        <v>176</v>
      </c>
      <c r="I9" s="22">
        <v>100</v>
      </c>
      <c r="J9" s="23">
        <f t="shared" si="1"/>
        <v>17600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45727</v>
      </c>
      <c r="D10" s="21" t="s">
        <v>18</v>
      </c>
      <c r="E10" s="21" t="s">
        <v>743</v>
      </c>
      <c r="F10" s="37">
        <v>440</v>
      </c>
      <c r="G10" s="37">
        <v>605</v>
      </c>
      <c r="H10" s="37">
        <f>605-440</f>
        <v>165</v>
      </c>
      <c r="I10" s="22">
        <v>50</v>
      </c>
      <c r="J10" s="23">
        <f t="shared" si="1"/>
        <v>8250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45728</v>
      </c>
      <c r="D11" s="21" t="s">
        <v>18</v>
      </c>
      <c r="E11" s="21" t="s">
        <v>744</v>
      </c>
      <c r="F11" s="37">
        <v>78</v>
      </c>
      <c r="G11" s="37">
        <v>87</v>
      </c>
      <c r="H11" s="37">
        <f>87-78</f>
        <v>9</v>
      </c>
      <c r="I11" s="22">
        <v>175</v>
      </c>
      <c r="J11" s="23">
        <f t="shared" si="1"/>
        <v>1575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45729</v>
      </c>
      <c r="D12" s="21" t="s">
        <v>18</v>
      </c>
      <c r="E12" s="21" t="s">
        <v>745</v>
      </c>
      <c r="F12" s="37">
        <v>120</v>
      </c>
      <c r="G12" s="37">
        <v>206</v>
      </c>
      <c r="H12" s="37">
        <f>206-120</f>
        <v>86</v>
      </c>
      <c r="I12" s="22">
        <v>75</v>
      </c>
      <c r="J12" s="23">
        <f t="shared" si="1"/>
        <v>6450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45734</v>
      </c>
      <c r="D13" s="21" t="s">
        <v>18</v>
      </c>
      <c r="E13" s="21" t="s">
        <v>746</v>
      </c>
      <c r="F13" s="37">
        <v>20</v>
      </c>
      <c r="G13" s="37">
        <v>24.75</v>
      </c>
      <c r="H13" s="37">
        <v>4.75</v>
      </c>
      <c r="I13" s="22">
        <v>350</v>
      </c>
      <c r="J13" s="23">
        <f t="shared" si="1"/>
        <v>1662.5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45737</v>
      </c>
      <c r="D14" s="21" t="s">
        <v>18</v>
      </c>
      <c r="E14" s="21" t="s">
        <v>747</v>
      </c>
      <c r="F14" s="37">
        <v>60</v>
      </c>
      <c r="G14" s="37">
        <v>42</v>
      </c>
      <c r="H14" s="37">
        <v>-18</v>
      </c>
      <c r="I14" s="22">
        <v>150</v>
      </c>
      <c r="J14" s="23">
        <f t="shared" si="1"/>
        <v>-2700</v>
      </c>
      <c r="K14" s="7"/>
      <c r="M14" s="5" t="s">
        <v>21</v>
      </c>
      <c r="V14" s="5">
        <f t="shared" si="2"/>
        <v>0</v>
      </c>
      <c r="W14" s="5">
        <f t="shared" si="3"/>
        <v>1</v>
      </c>
    </row>
    <row r="15" spans="1:23" x14ac:dyDescent="0.3">
      <c r="A15" s="6"/>
      <c r="B15" s="19">
        <v>10</v>
      </c>
      <c r="C15" s="20">
        <v>45740</v>
      </c>
      <c r="D15" s="21" t="s">
        <v>18</v>
      </c>
      <c r="E15" s="21" t="s">
        <v>748</v>
      </c>
      <c r="F15" s="37">
        <v>135</v>
      </c>
      <c r="G15" s="37">
        <v>239</v>
      </c>
      <c r="H15" s="37">
        <f>239-135</f>
        <v>104</v>
      </c>
      <c r="I15" s="22">
        <v>75</v>
      </c>
      <c r="J15" s="23">
        <f t="shared" si="1"/>
        <v>7800</v>
      </c>
      <c r="K15" s="7"/>
      <c r="V15" s="5">
        <f>IF($J15&gt;0,1,0)</f>
        <v>1</v>
      </c>
      <c r="W15" s="5">
        <f>IF($J15&lt;0,1,0)</f>
        <v>0</v>
      </c>
    </row>
    <row r="16" spans="1:23" x14ac:dyDescent="0.3">
      <c r="A16" s="6"/>
      <c r="B16" s="19">
        <v>11</v>
      </c>
      <c r="C16" s="20">
        <v>45741</v>
      </c>
      <c r="D16" s="21" t="s">
        <v>18</v>
      </c>
      <c r="E16" s="21" t="s">
        <v>681</v>
      </c>
      <c r="F16" s="37">
        <v>300</v>
      </c>
      <c r="G16" s="37">
        <v>712</v>
      </c>
      <c r="H16" s="37">
        <f>712-300</f>
        <v>412</v>
      </c>
      <c r="I16" s="22">
        <v>50</v>
      </c>
      <c r="J16" s="23">
        <f t="shared" si="1"/>
        <v>20600</v>
      </c>
      <c r="K16" s="7"/>
      <c r="V16" s="5">
        <f>IF($J16&gt;0,1,0)</f>
        <v>1</v>
      </c>
      <c r="W16" s="5">
        <f>IF($J16&lt;0,1,0)</f>
        <v>0</v>
      </c>
    </row>
    <row r="17" spans="1:23" x14ac:dyDescent="0.3">
      <c r="A17" s="6"/>
      <c r="B17" s="19">
        <v>12</v>
      </c>
      <c r="C17" s="20">
        <v>45744</v>
      </c>
      <c r="D17" s="21" t="s">
        <v>18</v>
      </c>
      <c r="E17" s="21" t="s">
        <v>743</v>
      </c>
      <c r="F17" s="37">
        <v>400</v>
      </c>
      <c r="G17" s="37">
        <v>599</v>
      </c>
      <c r="H17" s="37">
        <f>599-400</f>
        <v>199</v>
      </c>
      <c r="I17" s="22">
        <v>50</v>
      </c>
      <c r="J17" s="23">
        <f t="shared" si="1"/>
        <v>9950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19">
        <v>13</v>
      </c>
      <c r="C18" s="20">
        <v>45744</v>
      </c>
      <c r="D18" s="21" t="s">
        <v>18</v>
      </c>
      <c r="E18" s="21" t="s">
        <v>749</v>
      </c>
      <c r="F18" s="37">
        <v>8</v>
      </c>
      <c r="G18" s="37">
        <v>9.85</v>
      </c>
      <c r="H18" s="37">
        <f>9.85-8</f>
        <v>1.8499999999999996</v>
      </c>
      <c r="I18" s="22">
        <v>2000</v>
      </c>
      <c r="J18" s="23">
        <f t="shared" si="1"/>
        <v>3699.9999999999991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t="15" thickBot="1" x14ac:dyDescent="0.35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t="15" hidden="1" thickBot="1" x14ac:dyDescent="0.35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t="15" hidden="1" thickBot="1" x14ac:dyDescent="0.35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t="15" hidden="1" thickBot="1" x14ac:dyDescent="0.35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t="15" hidden="1" thickBot="1" x14ac:dyDescent="0.35">
      <c r="A25" s="6"/>
      <c r="B25" s="19">
        <v>20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t="15" hidden="1" thickBot="1" x14ac:dyDescent="0.35">
      <c r="A26" s="6"/>
      <c r="B26" s="19">
        <v>21</v>
      </c>
      <c r="C26" s="20"/>
      <c r="D26" s="21"/>
      <c r="E26" s="21"/>
      <c r="F26" s="37"/>
      <c r="G26" s="37"/>
      <c r="H26" s="37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t="15" hidden="1" thickBot="1" x14ac:dyDescent="0.35">
      <c r="A27" s="6"/>
      <c r="B27" s="19">
        <v>22</v>
      </c>
      <c r="C27" s="20"/>
      <c r="D27" s="21"/>
      <c r="E27" s="21"/>
      <c r="F27" s="37"/>
      <c r="G27" s="37"/>
      <c r="H27" s="37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t="15" hidden="1" thickBot="1" x14ac:dyDescent="0.35">
      <c r="A28" s="6"/>
      <c r="B28" s="19">
        <v>23</v>
      </c>
      <c r="C28" s="20"/>
      <c r="D28" s="21"/>
      <c r="E28" s="21"/>
      <c r="F28" s="37"/>
      <c r="G28" s="37"/>
      <c r="H28" s="37"/>
      <c r="I28" s="22"/>
      <c r="J28" s="23">
        <f t="shared" si="1"/>
        <v>0</v>
      </c>
      <c r="K28" s="7"/>
    </row>
    <row r="29" spans="1:23" ht="15" hidden="1" thickBot="1" x14ac:dyDescent="0.35">
      <c r="A29" s="6"/>
      <c r="B29" s="19">
        <v>24</v>
      </c>
      <c r="C29" s="20"/>
      <c r="D29" s="21"/>
      <c r="E29" s="21"/>
      <c r="F29" s="37"/>
      <c r="G29" s="37"/>
      <c r="H29" s="37"/>
      <c r="I29" s="22"/>
      <c r="J29" s="23">
        <f t="shared" si="1"/>
        <v>0</v>
      </c>
      <c r="K29" s="7"/>
    </row>
    <row r="30" spans="1:23" ht="15" hidden="1" thickBot="1" x14ac:dyDescent="0.35">
      <c r="A30" s="6"/>
      <c r="B30" s="19">
        <v>25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ht="15" hidden="1" thickBot="1" x14ac:dyDescent="0.35">
      <c r="A31" s="6"/>
      <c r="B31" s="19">
        <v>26</v>
      </c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hidden="1" thickBot="1" x14ac:dyDescent="0.35">
      <c r="A32" s="6"/>
      <c r="B32" s="19">
        <v>27</v>
      </c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79767.5</v>
      </c>
      <c r="K33" s="7"/>
      <c r="V33" s="5">
        <f>SUM(V6:V32)</f>
        <v>11</v>
      </c>
      <c r="W33" s="5">
        <f>SUM(W6:W32)</f>
        <v>2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4E8DB708-A992-4AD6-B0A6-CCDD6471B53C}"/>
    <hyperlink ref="M1" location="MASTER!A1" display="Back" xr:uid="{1C687A93-ED12-4044-B050-2F7C5A33BCDD}"/>
  </hyperlinks>
  <pageMargins left="0" right="0" top="0" bottom="0" header="0" footer="0"/>
  <pageSetup paperSize="9" orientation="portrait"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F3EBA-B24A-4326-81F2-C114DCF752CB}">
  <dimension ref="A1:W34"/>
  <sheetViews>
    <sheetView workbookViewId="0">
      <selection activeCell="I36" sqref="I36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45748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612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12</v>
      </c>
      <c r="O4" s="108">
        <f>V33</f>
        <v>12</v>
      </c>
      <c r="P4" s="108">
        <f>W33</f>
        <v>0</v>
      </c>
      <c r="Q4" s="110">
        <f>N4-O4-P4</f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730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45748</v>
      </c>
      <c r="D6" s="16" t="s">
        <v>18</v>
      </c>
      <c r="E6" s="16" t="s">
        <v>750</v>
      </c>
      <c r="F6" s="51">
        <v>160</v>
      </c>
      <c r="G6" s="51">
        <v>187</v>
      </c>
      <c r="H6" s="51">
        <f>187-160</f>
        <v>27</v>
      </c>
      <c r="I6" s="17">
        <v>100</v>
      </c>
      <c r="J6" s="18">
        <f>H6*I6</f>
        <v>2700</v>
      </c>
      <c r="K6" s="7"/>
      <c r="M6" s="88" t="s">
        <v>19</v>
      </c>
      <c r="N6" s="90">
        <f>SUM(N4:N5)</f>
        <v>12</v>
      </c>
      <c r="O6" s="90">
        <f>SUM(O4:O5)</f>
        <v>12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45750</v>
      </c>
      <c r="D7" s="21" t="s">
        <v>18</v>
      </c>
      <c r="E7" s="21" t="s">
        <v>751</v>
      </c>
      <c r="F7" s="37">
        <v>270</v>
      </c>
      <c r="G7" s="37">
        <v>567</v>
      </c>
      <c r="H7" s="37">
        <f>567-270</f>
        <v>297</v>
      </c>
      <c r="I7" s="22">
        <v>75</v>
      </c>
      <c r="J7" s="23">
        <f t="shared" ref="J7:J32" si="1">H7*I7</f>
        <v>22275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45754</v>
      </c>
      <c r="D8" s="21" t="s">
        <v>18</v>
      </c>
      <c r="E8" s="21" t="s">
        <v>752</v>
      </c>
      <c r="F8" s="37">
        <v>260</v>
      </c>
      <c r="G8" s="37">
        <v>450</v>
      </c>
      <c r="H8" s="37">
        <f>450-260</f>
        <v>190</v>
      </c>
      <c r="I8" s="22">
        <v>125</v>
      </c>
      <c r="J8" s="23">
        <f t="shared" si="1"/>
        <v>23750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45754</v>
      </c>
      <c r="D9" s="21" t="s">
        <v>18</v>
      </c>
      <c r="E9" s="21" t="s">
        <v>753</v>
      </c>
      <c r="F9" s="37">
        <v>250</v>
      </c>
      <c r="G9" s="37">
        <v>288</v>
      </c>
      <c r="H9" s="37">
        <f>288-250</f>
        <v>38</v>
      </c>
      <c r="I9" s="22">
        <v>100</v>
      </c>
      <c r="J9" s="23">
        <f t="shared" si="1"/>
        <v>3800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45755</v>
      </c>
      <c r="D10" s="21" t="s">
        <v>18</v>
      </c>
      <c r="E10" s="21" t="s">
        <v>754</v>
      </c>
      <c r="F10" s="37">
        <v>28</v>
      </c>
      <c r="G10" s="37">
        <v>30</v>
      </c>
      <c r="H10" s="37">
        <v>2</v>
      </c>
      <c r="I10" s="22">
        <v>750</v>
      </c>
      <c r="J10" s="23">
        <f t="shared" si="1"/>
        <v>1500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45758</v>
      </c>
      <c r="D11" s="21" t="s">
        <v>18</v>
      </c>
      <c r="E11" s="21" t="s">
        <v>681</v>
      </c>
      <c r="F11" s="37">
        <v>350</v>
      </c>
      <c r="G11" s="37">
        <v>393</v>
      </c>
      <c r="H11" s="37">
        <f>393-350</f>
        <v>43</v>
      </c>
      <c r="I11" s="22">
        <v>50</v>
      </c>
      <c r="J11" s="23">
        <f t="shared" si="1"/>
        <v>2150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45762</v>
      </c>
      <c r="D12" s="21" t="s">
        <v>18</v>
      </c>
      <c r="E12" s="21" t="s">
        <v>755</v>
      </c>
      <c r="F12" s="37">
        <v>65</v>
      </c>
      <c r="G12" s="37">
        <v>88</v>
      </c>
      <c r="H12" s="37">
        <f>88-65</f>
        <v>23</v>
      </c>
      <c r="I12" s="22">
        <v>250</v>
      </c>
      <c r="J12" s="23">
        <f t="shared" si="1"/>
        <v>5750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45763</v>
      </c>
      <c r="D13" s="21" t="s">
        <v>18</v>
      </c>
      <c r="E13" s="21" t="s">
        <v>756</v>
      </c>
      <c r="F13" s="37">
        <v>80</v>
      </c>
      <c r="G13" s="37">
        <v>141</v>
      </c>
      <c r="H13" s="37">
        <f>141-80</f>
        <v>61</v>
      </c>
      <c r="I13" s="22">
        <v>125</v>
      </c>
      <c r="J13" s="23">
        <f t="shared" si="1"/>
        <v>7625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45768</v>
      </c>
      <c r="D14" s="21" t="s">
        <v>18</v>
      </c>
      <c r="E14" s="21" t="s">
        <v>757</v>
      </c>
      <c r="F14" s="37">
        <v>100</v>
      </c>
      <c r="G14" s="37">
        <v>137</v>
      </c>
      <c r="H14" s="37">
        <f>137-100</f>
        <v>37</v>
      </c>
      <c r="I14" s="22">
        <v>150</v>
      </c>
      <c r="J14" s="23">
        <f t="shared" si="1"/>
        <v>5550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45771</v>
      </c>
      <c r="D15" s="21" t="s">
        <v>18</v>
      </c>
      <c r="E15" s="21" t="s">
        <v>690</v>
      </c>
      <c r="F15" s="37">
        <v>260</v>
      </c>
      <c r="G15" s="37">
        <v>311</v>
      </c>
      <c r="H15" s="37">
        <f>311-260</f>
        <v>51</v>
      </c>
      <c r="I15" s="22">
        <v>100</v>
      </c>
      <c r="J15" s="23">
        <f t="shared" si="1"/>
        <v>5100</v>
      </c>
      <c r="K15" s="7"/>
      <c r="V15" s="5">
        <f>IF($J15&gt;0,1,0)</f>
        <v>1</v>
      </c>
      <c r="W15" s="5">
        <f>IF($J15&lt;0,1,0)</f>
        <v>0</v>
      </c>
    </row>
    <row r="16" spans="1:23" x14ac:dyDescent="0.3">
      <c r="A16" s="6"/>
      <c r="B16" s="19">
        <v>11</v>
      </c>
      <c r="C16" s="20">
        <v>45773</v>
      </c>
      <c r="D16" s="21" t="s">
        <v>18</v>
      </c>
      <c r="E16" s="21" t="s">
        <v>758</v>
      </c>
      <c r="F16" s="37">
        <v>400</v>
      </c>
      <c r="G16" s="37">
        <v>438.9</v>
      </c>
      <c r="H16" s="37">
        <v>38.9</v>
      </c>
      <c r="I16" s="22">
        <v>75</v>
      </c>
      <c r="J16" s="23">
        <f t="shared" si="1"/>
        <v>2917.5</v>
      </c>
      <c r="K16" s="7"/>
      <c r="V16" s="5">
        <f>IF($J16&gt;0,1,0)</f>
        <v>1</v>
      </c>
      <c r="W16" s="5">
        <f>IF($J16&lt;0,1,0)</f>
        <v>0</v>
      </c>
    </row>
    <row r="17" spans="1:23" ht="15" thickBot="1" x14ac:dyDescent="0.35">
      <c r="A17" s="6"/>
      <c r="B17" s="19">
        <v>12</v>
      </c>
      <c r="C17" s="20">
        <v>45776</v>
      </c>
      <c r="D17" s="21" t="s">
        <v>18</v>
      </c>
      <c r="E17" s="21" t="s">
        <v>759</v>
      </c>
      <c r="F17" s="37">
        <v>180</v>
      </c>
      <c r="G17" s="37">
        <v>218</v>
      </c>
      <c r="H17" s="37">
        <f>218-180</f>
        <v>38</v>
      </c>
      <c r="I17" s="22">
        <v>150</v>
      </c>
      <c r="J17" s="23">
        <f t="shared" si="1"/>
        <v>5700</v>
      </c>
      <c r="K17" s="7"/>
      <c r="V17" s="5">
        <f t="shared" si="2"/>
        <v>1</v>
      </c>
      <c r="W17" s="5">
        <f t="shared" si="3"/>
        <v>0</v>
      </c>
    </row>
    <row r="18" spans="1:23" hidden="1" x14ac:dyDescent="0.3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t="15" hidden="1" thickBot="1" x14ac:dyDescent="0.35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t="15" hidden="1" thickBot="1" x14ac:dyDescent="0.35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t="15" hidden="1" thickBot="1" x14ac:dyDescent="0.35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t="15" hidden="1" thickBot="1" x14ac:dyDescent="0.35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t="15" hidden="1" thickBot="1" x14ac:dyDescent="0.35">
      <c r="A25" s="6"/>
      <c r="B25" s="19">
        <v>20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t="15" hidden="1" thickBot="1" x14ac:dyDescent="0.35">
      <c r="A26" s="6"/>
      <c r="B26" s="19">
        <v>21</v>
      </c>
      <c r="C26" s="20"/>
      <c r="D26" s="21"/>
      <c r="E26" s="21"/>
      <c r="F26" s="37"/>
      <c r="G26" s="37"/>
      <c r="H26" s="37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t="15" hidden="1" thickBot="1" x14ac:dyDescent="0.35">
      <c r="A27" s="6"/>
      <c r="B27" s="19">
        <v>22</v>
      </c>
      <c r="C27" s="20"/>
      <c r="D27" s="21"/>
      <c r="E27" s="21"/>
      <c r="F27" s="37"/>
      <c r="G27" s="37"/>
      <c r="H27" s="37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t="15" hidden="1" thickBot="1" x14ac:dyDescent="0.35">
      <c r="A28" s="6"/>
      <c r="B28" s="19">
        <v>23</v>
      </c>
      <c r="C28" s="20"/>
      <c r="D28" s="21"/>
      <c r="E28" s="21"/>
      <c r="F28" s="37"/>
      <c r="G28" s="37"/>
      <c r="H28" s="37"/>
      <c r="I28" s="22"/>
      <c r="J28" s="23">
        <f t="shared" si="1"/>
        <v>0</v>
      </c>
      <c r="K28" s="7"/>
    </row>
    <row r="29" spans="1:23" ht="15" hidden="1" thickBot="1" x14ac:dyDescent="0.35">
      <c r="A29" s="6"/>
      <c r="B29" s="19">
        <v>24</v>
      </c>
      <c r="C29" s="20"/>
      <c r="D29" s="21"/>
      <c r="E29" s="21"/>
      <c r="F29" s="37"/>
      <c r="G29" s="37"/>
      <c r="H29" s="37"/>
      <c r="I29" s="22"/>
      <c r="J29" s="23">
        <f t="shared" si="1"/>
        <v>0</v>
      </c>
      <c r="K29" s="7"/>
    </row>
    <row r="30" spans="1:23" ht="15" hidden="1" thickBot="1" x14ac:dyDescent="0.35">
      <c r="A30" s="6"/>
      <c r="B30" s="19">
        <v>25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ht="15" hidden="1" thickBot="1" x14ac:dyDescent="0.35">
      <c r="A31" s="6"/>
      <c r="B31" s="19">
        <v>26</v>
      </c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hidden="1" thickBot="1" x14ac:dyDescent="0.35">
      <c r="A32" s="6"/>
      <c r="B32" s="19">
        <v>27</v>
      </c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88817.5</v>
      </c>
      <c r="K33" s="7"/>
      <c r="V33" s="5">
        <f>SUM(V6:V32)</f>
        <v>12</v>
      </c>
      <c r="W33" s="5">
        <f>SUM(W6:W32)</f>
        <v>0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61E597F7-C9A0-4F74-A17E-291F3FB54C7E}"/>
    <hyperlink ref="M1" location="MASTER!A1" display="Back" xr:uid="{83FF7DF7-D4E0-4DC4-87EB-8A7D2BD45D6D}"/>
  </hyperlinks>
  <pageMargins left="0" right="0" top="0" bottom="0" header="0" footer="0"/>
  <pageSetup paperSize="9" orientation="portrait"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2079D-63AA-4F58-8D18-4D4B2DADD9BE}">
  <dimension ref="A1:W34"/>
  <sheetViews>
    <sheetView workbookViewId="0">
      <selection activeCell="K38" sqref="K38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45778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612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11</v>
      </c>
      <c r="O4" s="108">
        <f>V33</f>
        <v>10</v>
      </c>
      <c r="P4" s="108">
        <f>W33</f>
        <v>1</v>
      </c>
      <c r="Q4" s="110">
        <f>N4-O4-P4</f>
        <v>0</v>
      </c>
      <c r="R4" s="94">
        <f>O4/N4</f>
        <v>0.90909090909090906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730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45779</v>
      </c>
      <c r="D6" s="16" t="s">
        <v>18</v>
      </c>
      <c r="E6" s="16" t="s">
        <v>760</v>
      </c>
      <c r="F6" s="51">
        <v>36</v>
      </c>
      <c r="G6" s="51">
        <v>47</v>
      </c>
      <c r="H6" s="51">
        <f>47-36</f>
        <v>11</v>
      </c>
      <c r="I6" s="17">
        <v>550</v>
      </c>
      <c r="J6" s="18">
        <f>H6*I6</f>
        <v>6050</v>
      </c>
      <c r="K6" s="7"/>
      <c r="M6" s="88" t="s">
        <v>19</v>
      </c>
      <c r="N6" s="90">
        <f>SUM(N4:N5)</f>
        <v>11</v>
      </c>
      <c r="O6" s="90">
        <f>SUM(O4:O5)</f>
        <v>10</v>
      </c>
      <c r="P6" s="90">
        <f>SUM(P4:P5)</f>
        <v>1</v>
      </c>
      <c r="Q6" s="92">
        <f>SUM(Q4:Q5)</f>
        <v>0</v>
      </c>
      <c r="R6" s="94">
        <f t="shared" ref="R6" si="0">O6/N6</f>
        <v>0.90909090909090906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45782</v>
      </c>
      <c r="D7" s="21" t="s">
        <v>18</v>
      </c>
      <c r="E7" s="21" t="s">
        <v>761</v>
      </c>
      <c r="F7" s="37">
        <v>110</v>
      </c>
      <c r="G7" s="37">
        <v>173</v>
      </c>
      <c r="H7" s="37">
        <f>173-110</f>
        <v>63</v>
      </c>
      <c r="I7" s="22">
        <v>150</v>
      </c>
      <c r="J7" s="23">
        <f t="shared" ref="J7:J32" si="1">H7*I7</f>
        <v>9450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45783</v>
      </c>
      <c r="D8" s="21" t="s">
        <v>18</v>
      </c>
      <c r="E8" s="21" t="s">
        <v>762</v>
      </c>
      <c r="F8" s="37">
        <v>590</v>
      </c>
      <c r="G8" s="37">
        <v>829</v>
      </c>
      <c r="H8" s="37">
        <f>829-590</f>
        <v>239</v>
      </c>
      <c r="I8" s="22">
        <v>50</v>
      </c>
      <c r="J8" s="23">
        <f t="shared" si="1"/>
        <v>11950</v>
      </c>
      <c r="K8" s="7"/>
      <c r="M8" s="67" t="s">
        <v>20</v>
      </c>
      <c r="N8" s="68"/>
      <c r="O8" s="69"/>
      <c r="P8" s="76">
        <f>R6</f>
        <v>0.90909090909090906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45784</v>
      </c>
      <c r="D9" s="21" t="s">
        <v>18</v>
      </c>
      <c r="E9" s="21" t="s">
        <v>763</v>
      </c>
      <c r="F9" s="37">
        <v>60</v>
      </c>
      <c r="G9" s="37">
        <v>44</v>
      </c>
      <c r="H9" s="37">
        <v>-16</v>
      </c>
      <c r="I9" s="22">
        <v>300</v>
      </c>
      <c r="J9" s="23">
        <f t="shared" si="1"/>
        <v>-4800</v>
      </c>
      <c r="K9" s="7"/>
      <c r="M9" s="70"/>
      <c r="N9" s="71"/>
      <c r="O9" s="72"/>
      <c r="P9" s="79"/>
      <c r="Q9" s="80"/>
      <c r="R9" s="81"/>
      <c r="V9" s="5">
        <f t="shared" si="2"/>
        <v>0</v>
      </c>
      <c r="W9" s="5">
        <f t="shared" si="3"/>
        <v>1</v>
      </c>
    </row>
    <row r="10" spans="1:23" ht="15" thickBot="1" x14ac:dyDescent="0.35">
      <c r="A10" s="6"/>
      <c r="B10" s="19">
        <v>5</v>
      </c>
      <c r="C10" s="20">
        <v>45785</v>
      </c>
      <c r="D10" s="21" t="s">
        <v>18</v>
      </c>
      <c r="E10" s="21" t="s">
        <v>764</v>
      </c>
      <c r="F10" s="37">
        <v>210</v>
      </c>
      <c r="G10" s="37">
        <v>241</v>
      </c>
      <c r="H10" s="37">
        <f>241-210</f>
        <v>31</v>
      </c>
      <c r="I10" s="22">
        <v>125</v>
      </c>
      <c r="J10" s="23">
        <f t="shared" si="1"/>
        <v>3875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45790</v>
      </c>
      <c r="D11" s="21" t="s">
        <v>18</v>
      </c>
      <c r="E11" s="21" t="s">
        <v>765</v>
      </c>
      <c r="F11" s="37">
        <v>450</v>
      </c>
      <c r="G11" s="37">
        <v>570</v>
      </c>
      <c r="H11" s="37">
        <f>570-450</f>
        <v>120</v>
      </c>
      <c r="I11" s="22">
        <v>50</v>
      </c>
      <c r="J11" s="23">
        <f t="shared" si="1"/>
        <v>6000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45791</v>
      </c>
      <c r="D12" s="21" t="s">
        <v>18</v>
      </c>
      <c r="E12" s="21" t="s">
        <v>766</v>
      </c>
      <c r="F12" s="37">
        <v>230</v>
      </c>
      <c r="G12" s="37">
        <v>295</v>
      </c>
      <c r="H12" s="37">
        <f>295-230</f>
        <v>65</v>
      </c>
      <c r="I12" s="22">
        <v>50</v>
      </c>
      <c r="J12" s="23">
        <f t="shared" si="1"/>
        <v>3250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45793</v>
      </c>
      <c r="D13" s="21" t="s">
        <v>18</v>
      </c>
      <c r="E13" s="21" t="s">
        <v>723</v>
      </c>
      <c r="F13" s="37">
        <v>28</v>
      </c>
      <c r="G13" s="37">
        <v>63</v>
      </c>
      <c r="H13" s="37">
        <f>63-28</f>
        <v>35</v>
      </c>
      <c r="I13" s="22">
        <v>350</v>
      </c>
      <c r="J13" s="23">
        <f t="shared" si="1"/>
        <v>12250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45796</v>
      </c>
      <c r="D14" s="21" t="s">
        <v>18</v>
      </c>
      <c r="E14" s="21" t="s">
        <v>767</v>
      </c>
      <c r="F14" s="37">
        <v>2.1</v>
      </c>
      <c r="G14" s="37">
        <v>3</v>
      </c>
      <c r="H14" s="37">
        <f>3-2.1</f>
        <v>0.89999999999999991</v>
      </c>
      <c r="I14" s="22">
        <v>8000</v>
      </c>
      <c r="J14" s="23">
        <f t="shared" si="1"/>
        <v>7199.9999999999991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45798</v>
      </c>
      <c r="D15" s="21" t="s">
        <v>18</v>
      </c>
      <c r="E15" s="21" t="s">
        <v>768</v>
      </c>
      <c r="F15" s="37">
        <v>16</v>
      </c>
      <c r="G15" s="37">
        <v>18.600000000000001</v>
      </c>
      <c r="H15" s="37">
        <v>2.6</v>
      </c>
      <c r="I15" s="22">
        <v>725</v>
      </c>
      <c r="J15" s="23">
        <f t="shared" si="1"/>
        <v>1885</v>
      </c>
      <c r="K15" s="7"/>
      <c r="V15" s="5">
        <f>IF($J15&gt;0,1,0)</f>
        <v>1</v>
      </c>
      <c r="W15" s="5">
        <f>IF($J15&lt;0,1,0)</f>
        <v>0</v>
      </c>
    </row>
    <row r="16" spans="1:23" ht="15" thickBot="1" x14ac:dyDescent="0.35">
      <c r="A16" s="6"/>
      <c r="B16" s="19">
        <v>11</v>
      </c>
      <c r="C16" s="20">
        <v>45807</v>
      </c>
      <c r="D16" s="21" t="s">
        <v>18</v>
      </c>
      <c r="E16" s="21" t="s">
        <v>769</v>
      </c>
      <c r="F16" s="37">
        <v>60</v>
      </c>
      <c r="G16" s="37">
        <v>71.8</v>
      </c>
      <c r="H16" s="37">
        <f>71.8-60</f>
        <v>11.799999999999997</v>
      </c>
      <c r="I16" s="22">
        <v>350</v>
      </c>
      <c r="J16" s="23">
        <f t="shared" si="1"/>
        <v>4129.9999999999991</v>
      </c>
      <c r="K16" s="7"/>
      <c r="V16" s="5">
        <f>IF($J16&gt;0,1,0)</f>
        <v>1</v>
      </c>
      <c r="W16" s="5">
        <f>IF($J16&lt;0,1,0)</f>
        <v>0</v>
      </c>
    </row>
    <row r="17" spans="1:23" ht="15" hidden="1" thickBot="1" x14ac:dyDescent="0.35">
      <c r="A17" s="6"/>
      <c r="B17" s="19">
        <v>12</v>
      </c>
      <c r="C17" s="20"/>
      <c r="D17" s="21"/>
      <c r="E17" s="21"/>
      <c r="F17" s="37"/>
      <c r="G17" s="37"/>
      <c r="H17" s="37"/>
      <c r="I17" s="22"/>
      <c r="J17" s="23">
        <f t="shared" si="1"/>
        <v>0</v>
      </c>
      <c r="K17" s="7"/>
      <c r="V17" s="5">
        <f t="shared" si="2"/>
        <v>0</v>
      </c>
      <c r="W17" s="5">
        <f t="shared" si="3"/>
        <v>0</v>
      </c>
    </row>
    <row r="18" spans="1:23" ht="15" hidden="1" thickBot="1" x14ac:dyDescent="0.35">
      <c r="A18" s="6"/>
      <c r="B18" s="19">
        <v>13</v>
      </c>
      <c r="C18" s="20"/>
      <c r="D18" s="21"/>
      <c r="E18" s="21"/>
      <c r="F18" s="37"/>
      <c r="G18" s="37"/>
      <c r="H18" s="37"/>
      <c r="I18" s="22"/>
      <c r="J18" s="23">
        <f t="shared" si="1"/>
        <v>0</v>
      </c>
      <c r="K18" s="7"/>
      <c r="V18" s="5">
        <f t="shared" si="2"/>
        <v>0</v>
      </c>
      <c r="W18" s="5">
        <f t="shared" si="3"/>
        <v>0</v>
      </c>
    </row>
    <row r="19" spans="1:23" ht="15" hidden="1" thickBot="1" x14ac:dyDescent="0.35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t="15" hidden="1" thickBot="1" x14ac:dyDescent="0.35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t="15" hidden="1" thickBot="1" x14ac:dyDescent="0.35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t="15" hidden="1" thickBot="1" x14ac:dyDescent="0.35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t="15" hidden="1" thickBot="1" x14ac:dyDescent="0.35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t="15" hidden="1" thickBot="1" x14ac:dyDescent="0.35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t="15" hidden="1" thickBot="1" x14ac:dyDescent="0.35">
      <c r="A25" s="6"/>
      <c r="B25" s="19">
        <v>20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t="15" hidden="1" thickBot="1" x14ac:dyDescent="0.35">
      <c r="A26" s="6"/>
      <c r="B26" s="19">
        <v>21</v>
      </c>
      <c r="C26" s="20"/>
      <c r="D26" s="21"/>
      <c r="E26" s="21"/>
      <c r="F26" s="37"/>
      <c r="G26" s="37"/>
      <c r="H26" s="37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t="15" hidden="1" thickBot="1" x14ac:dyDescent="0.35">
      <c r="A27" s="6"/>
      <c r="B27" s="19">
        <v>22</v>
      </c>
      <c r="C27" s="20"/>
      <c r="D27" s="21"/>
      <c r="E27" s="21"/>
      <c r="F27" s="37"/>
      <c r="G27" s="37"/>
      <c r="H27" s="37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t="15" hidden="1" thickBot="1" x14ac:dyDescent="0.35">
      <c r="A28" s="6"/>
      <c r="B28" s="19">
        <v>23</v>
      </c>
      <c r="C28" s="20"/>
      <c r="D28" s="21"/>
      <c r="E28" s="21"/>
      <c r="F28" s="37"/>
      <c r="G28" s="37"/>
      <c r="H28" s="37"/>
      <c r="I28" s="22"/>
      <c r="J28" s="23">
        <f t="shared" si="1"/>
        <v>0</v>
      </c>
      <c r="K28" s="7"/>
    </row>
    <row r="29" spans="1:23" ht="15" hidden="1" thickBot="1" x14ac:dyDescent="0.35">
      <c r="A29" s="6"/>
      <c r="B29" s="19">
        <v>24</v>
      </c>
      <c r="C29" s="20"/>
      <c r="D29" s="21"/>
      <c r="E29" s="21"/>
      <c r="F29" s="37"/>
      <c r="G29" s="37"/>
      <c r="H29" s="37"/>
      <c r="I29" s="22"/>
      <c r="J29" s="23">
        <f t="shared" si="1"/>
        <v>0</v>
      </c>
      <c r="K29" s="7"/>
    </row>
    <row r="30" spans="1:23" ht="15" hidden="1" thickBot="1" x14ac:dyDescent="0.35">
      <c r="A30" s="6"/>
      <c r="B30" s="19">
        <v>25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ht="15" hidden="1" thickBot="1" x14ac:dyDescent="0.35">
      <c r="A31" s="6"/>
      <c r="B31" s="19">
        <v>26</v>
      </c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hidden="1" thickBot="1" x14ac:dyDescent="0.35">
      <c r="A32" s="6"/>
      <c r="B32" s="19">
        <v>27</v>
      </c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61240</v>
      </c>
      <c r="K33" s="7"/>
      <c r="V33" s="5">
        <f>SUM(V6:V32)</f>
        <v>10</v>
      </c>
      <c r="W33" s="5">
        <f>SUM(W6:W32)</f>
        <v>1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71D44678-20AA-4F7B-BC3C-B3EE58E08D32}"/>
    <hyperlink ref="M1" location="MASTER!A1" display="Back" xr:uid="{CD241EB5-E4F3-40FB-B88A-521176902F03}"/>
  </hyperlinks>
  <pageMargins left="0" right="0" top="0" bottom="0" header="0" footer="0"/>
  <pageSetup paperSize="9" orientation="portrait"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ACB95-BE8E-4296-8CED-806A2A5CA8D8}">
  <dimension ref="A1:W34"/>
  <sheetViews>
    <sheetView workbookViewId="0">
      <selection activeCell="M16" sqref="M16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45809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612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13</v>
      </c>
      <c r="O4" s="108">
        <f>V33</f>
        <v>13</v>
      </c>
      <c r="P4" s="108">
        <f>W33</f>
        <v>0</v>
      </c>
      <c r="Q4" s="110">
        <f>N4-O4-P4</f>
        <v>0</v>
      </c>
      <c r="R4" s="94">
        <f>O4/N4</f>
        <v>1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730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45811</v>
      </c>
      <c r="D6" s="16" t="s">
        <v>18</v>
      </c>
      <c r="E6" s="16" t="s">
        <v>770</v>
      </c>
      <c r="F6" s="51">
        <v>280</v>
      </c>
      <c r="G6" s="51">
        <v>359</v>
      </c>
      <c r="H6" s="51">
        <f>359-280</f>
        <v>79</v>
      </c>
      <c r="I6" s="17">
        <v>50</v>
      </c>
      <c r="J6" s="18">
        <f>H6*I6</f>
        <v>3950</v>
      </c>
      <c r="K6" s="7"/>
      <c r="M6" s="88" t="s">
        <v>19</v>
      </c>
      <c r="N6" s="90">
        <f>SUM(N4:N5)</f>
        <v>13</v>
      </c>
      <c r="O6" s="90">
        <f>SUM(O4:O5)</f>
        <v>13</v>
      </c>
      <c r="P6" s="90">
        <f>SUM(P4:P5)</f>
        <v>0</v>
      </c>
      <c r="Q6" s="92">
        <f>SUM(Q4:Q5)</f>
        <v>0</v>
      </c>
      <c r="R6" s="94">
        <f t="shared" ref="R6" si="0">O6/N6</f>
        <v>1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45812</v>
      </c>
      <c r="D7" s="21" t="s">
        <v>18</v>
      </c>
      <c r="E7" s="21" t="s">
        <v>771</v>
      </c>
      <c r="F7" s="37">
        <v>160</v>
      </c>
      <c r="G7" s="37">
        <v>186</v>
      </c>
      <c r="H7" s="37">
        <f>186-160</f>
        <v>26</v>
      </c>
      <c r="I7" s="22">
        <v>150</v>
      </c>
      <c r="J7" s="23">
        <f t="shared" ref="J7:J32" si="1">H7*I7</f>
        <v>3900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45813</v>
      </c>
      <c r="D8" s="21" t="s">
        <v>18</v>
      </c>
      <c r="E8" s="21" t="s">
        <v>772</v>
      </c>
      <c r="F8" s="37">
        <v>120</v>
      </c>
      <c r="G8" s="37">
        <v>157</v>
      </c>
      <c r="H8" s="37">
        <f>157-120</f>
        <v>37</v>
      </c>
      <c r="I8" s="22">
        <v>200</v>
      </c>
      <c r="J8" s="23">
        <f t="shared" si="1"/>
        <v>7400</v>
      </c>
      <c r="K8" s="7"/>
      <c r="M8" s="67" t="s">
        <v>20</v>
      </c>
      <c r="N8" s="68"/>
      <c r="O8" s="69"/>
      <c r="P8" s="76">
        <f>R6</f>
        <v>1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45814</v>
      </c>
      <c r="D9" s="21" t="s">
        <v>18</v>
      </c>
      <c r="E9" s="21" t="s">
        <v>773</v>
      </c>
      <c r="F9" s="37">
        <v>110</v>
      </c>
      <c r="G9" s="37">
        <v>180</v>
      </c>
      <c r="H9" s="37">
        <f>180-110</f>
        <v>70</v>
      </c>
      <c r="I9" s="22">
        <v>150</v>
      </c>
      <c r="J9" s="23">
        <f t="shared" si="1"/>
        <v>10500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45817</v>
      </c>
      <c r="D10" s="21" t="s">
        <v>18</v>
      </c>
      <c r="E10" s="21" t="s">
        <v>774</v>
      </c>
      <c r="F10" s="37">
        <v>340</v>
      </c>
      <c r="G10" s="37">
        <v>517</v>
      </c>
      <c r="H10" s="37">
        <f>517-340</f>
        <v>177</v>
      </c>
      <c r="I10" s="22">
        <v>75</v>
      </c>
      <c r="J10" s="23">
        <f t="shared" si="1"/>
        <v>13275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45820</v>
      </c>
      <c r="D11" s="21" t="s">
        <v>18</v>
      </c>
      <c r="E11" s="21" t="s">
        <v>775</v>
      </c>
      <c r="F11" s="37">
        <v>110</v>
      </c>
      <c r="G11" s="37">
        <v>123.55</v>
      </c>
      <c r="H11" s="37">
        <f>123.55-110</f>
        <v>13.549999999999997</v>
      </c>
      <c r="I11" s="22">
        <v>125</v>
      </c>
      <c r="J11" s="23">
        <f t="shared" si="1"/>
        <v>1693.7499999999995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45821</v>
      </c>
      <c r="D12" s="21" t="s">
        <v>18</v>
      </c>
      <c r="E12" s="21" t="s">
        <v>774</v>
      </c>
      <c r="F12" s="37">
        <v>320</v>
      </c>
      <c r="G12" s="37">
        <v>418</v>
      </c>
      <c r="H12" s="37">
        <f>418-320</f>
        <v>98</v>
      </c>
      <c r="I12" s="22">
        <v>75</v>
      </c>
      <c r="J12" s="23">
        <f t="shared" si="1"/>
        <v>7350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45826</v>
      </c>
      <c r="D13" s="21" t="s">
        <v>18</v>
      </c>
      <c r="E13" s="21" t="s">
        <v>776</v>
      </c>
      <c r="F13" s="37">
        <v>340</v>
      </c>
      <c r="G13" s="37">
        <v>692</v>
      </c>
      <c r="H13" s="37">
        <f>692-340</f>
        <v>352</v>
      </c>
      <c r="I13" s="22">
        <v>50</v>
      </c>
      <c r="J13" s="23">
        <f t="shared" si="1"/>
        <v>17600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45827</v>
      </c>
      <c r="D14" s="21" t="s">
        <v>18</v>
      </c>
      <c r="E14" s="21" t="s">
        <v>777</v>
      </c>
      <c r="F14" s="37">
        <v>8</v>
      </c>
      <c r="G14" s="37">
        <v>10.5</v>
      </c>
      <c r="H14" s="37">
        <v>2.5</v>
      </c>
      <c r="I14" s="22">
        <v>1250</v>
      </c>
      <c r="J14" s="23">
        <f t="shared" si="1"/>
        <v>3125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45828</v>
      </c>
      <c r="D15" s="21" t="s">
        <v>18</v>
      </c>
      <c r="E15" s="21" t="s">
        <v>778</v>
      </c>
      <c r="F15" s="37">
        <v>8</v>
      </c>
      <c r="G15" s="37">
        <v>11.65</v>
      </c>
      <c r="H15" s="37">
        <f>11.65-8</f>
        <v>3.6500000000000004</v>
      </c>
      <c r="I15" s="22">
        <v>1250</v>
      </c>
      <c r="J15" s="23">
        <f t="shared" si="1"/>
        <v>4562.5</v>
      </c>
      <c r="K15" s="7"/>
      <c r="V15" s="5">
        <f>IF($J15&gt;0,1,0)</f>
        <v>1</v>
      </c>
      <c r="W15" s="5">
        <f>IF($J15&lt;0,1,0)</f>
        <v>0</v>
      </c>
    </row>
    <row r="16" spans="1:23" x14ac:dyDescent="0.3">
      <c r="A16" s="6"/>
      <c r="B16" s="19">
        <v>11</v>
      </c>
      <c r="C16" s="20">
        <v>45831</v>
      </c>
      <c r="D16" s="21" t="s">
        <v>18</v>
      </c>
      <c r="E16" s="21" t="s">
        <v>779</v>
      </c>
      <c r="F16" s="37">
        <v>180</v>
      </c>
      <c r="G16" s="37">
        <v>270</v>
      </c>
      <c r="H16" s="37">
        <f>270-180</f>
        <v>90</v>
      </c>
      <c r="I16" s="22">
        <v>125</v>
      </c>
      <c r="J16" s="23">
        <f t="shared" si="1"/>
        <v>11250</v>
      </c>
      <c r="K16" s="7"/>
      <c r="V16" s="5">
        <f>IF($J16&gt;0,1,0)</f>
        <v>1</v>
      </c>
      <c r="W16" s="5">
        <f>IF($J16&lt;0,1,0)</f>
        <v>0</v>
      </c>
    </row>
    <row r="17" spans="1:23" x14ac:dyDescent="0.3">
      <c r="A17" s="6"/>
      <c r="B17" s="19">
        <v>12</v>
      </c>
      <c r="C17" s="20">
        <v>45831</v>
      </c>
      <c r="D17" s="21" t="s">
        <v>18</v>
      </c>
      <c r="E17" s="21" t="s">
        <v>780</v>
      </c>
      <c r="F17" s="37">
        <v>25</v>
      </c>
      <c r="G17" s="37">
        <v>39.799999999999997</v>
      </c>
      <c r="H17" s="37">
        <f>39.8-25</f>
        <v>14.799999999999997</v>
      </c>
      <c r="I17" s="22">
        <v>475</v>
      </c>
      <c r="J17" s="23">
        <f t="shared" si="1"/>
        <v>7029.9999999999991</v>
      </c>
      <c r="K17" s="7"/>
      <c r="V17" s="5">
        <f t="shared" si="2"/>
        <v>1</v>
      </c>
      <c r="W17" s="5">
        <f t="shared" si="3"/>
        <v>0</v>
      </c>
    </row>
    <row r="18" spans="1:23" ht="15" thickBot="1" x14ac:dyDescent="0.35">
      <c r="A18" s="6"/>
      <c r="B18" s="19">
        <v>13</v>
      </c>
      <c r="C18" s="20">
        <v>45832</v>
      </c>
      <c r="D18" s="21" t="s">
        <v>18</v>
      </c>
      <c r="E18" s="21" t="s">
        <v>781</v>
      </c>
      <c r="F18" s="37">
        <v>2.2000000000000002</v>
      </c>
      <c r="G18" s="37">
        <v>3.35</v>
      </c>
      <c r="H18" s="37">
        <f>3.35-2.2</f>
        <v>1.1499999999999999</v>
      </c>
      <c r="I18" s="22">
        <v>2250</v>
      </c>
      <c r="J18" s="23">
        <f t="shared" si="1"/>
        <v>2587.5</v>
      </c>
      <c r="K18" s="7"/>
      <c r="V18" s="5">
        <f t="shared" si="2"/>
        <v>1</v>
      </c>
      <c r="W18" s="5">
        <f t="shared" si="3"/>
        <v>0</v>
      </c>
    </row>
    <row r="19" spans="1:23" hidden="1" x14ac:dyDescent="0.3">
      <c r="A19" s="6"/>
      <c r="B19" s="19">
        <v>14</v>
      </c>
      <c r="C19" s="20"/>
      <c r="D19" s="21"/>
      <c r="E19" s="21"/>
      <c r="F19" s="37"/>
      <c r="G19" s="37"/>
      <c r="H19" s="37"/>
      <c r="I19" s="22"/>
      <c r="J19" s="23">
        <f t="shared" si="1"/>
        <v>0</v>
      </c>
      <c r="K19" s="7"/>
      <c r="V19" s="5">
        <f t="shared" si="2"/>
        <v>0</v>
      </c>
      <c r="W19" s="5">
        <f t="shared" si="3"/>
        <v>0</v>
      </c>
    </row>
    <row r="20" spans="1:23" hidden="1" x14ac:dyDescent="0.3">
      <c r="A20" s="6"/>
      <c r="B20" s="19">
        <v>15</v>
      </c>
      <c r="C20" s="20"/>
      <c r="D20" s="21"/>
      <c r="E20" s="21"/>
      <c r="F20" s="37"/>
      <c r="G20" s="37"/>
      <c r="H20" s="37"/>
      <c r="I20" s="22"/>
      <c r="J20" s="23">
        <f t="shared" si="1"/>
        <v>0</v>
      </c>
      <c r="K20" s="7"/>
      <c r="V20" s="5">
        <f t="shared" si="2"/>
        <v>0</v>
      </c>
      <c r="W20" s="5">
        <f t="shared" si="3"/>
        <v>0</v>
      </c>
    </row>
    <row r="21" spans="1:23" hidden="1" x14ac:dyDescent="0.3">
      <c r="A21" s="6"/>
      <c r="B21" s="19">
        <v>16</v>
      </c>
      <c r="C21" s="20"/>
      <c r="D21" s="21"/>
      <c r="E21" s="21"/>
      <c r="F21" s="37"/>
      <c r="G21" s="37"/>
      <c r="H21" s="37"/>
      <c r="I21" s="22"/>
      <c r="J21" s="23">
        <f t="shared" si="1"/>
        <v>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0</v>
      </c>
    </row>
    <row r="22" spans="1:23" hidden="1" x14ac:dyDescent="0.3">
      <c r="A22" s="6"/>
      <c r="B22" s="19">
        <v>17</v>
      </c>
      <c r="C22" s="20"/>
      <c r="D22" s="21"/>
      <c r="E22" s="21"/>
      <c r="F22" s="37"/>
      <c r="G22" s="37"/>
      <c r="H22" s="37"/>
      <c r="I22" s="22"/>
      <c r="J22" s="23">
        <f t="shared" si="1"/>
        <v>0</v>
      </c>
      <c r="K22" s="7"/>
      <c r="V22" s="5">
        <f t="shared" si="2"/>
        <v>0</v>
      </c>
      <c r="W22" s="5">
        <f t="shared" si="3"/>
        <v>0</v>
      </c>
    </row>
    <row r="23" spans="1:23" hidden="1" x14ac:dyDescent="0.3">
      <c r="A23" s="6"/>
      <c r="B23" s="19">
        <v>18</v>
      </c>
      <c r="C23" s="20"/>
      <c r="D23" s="21"/>
      <c r="E23" s="21"/>
      <c r="F23" s="37"/>
      <c r="G23" s="37"/>
      <c r="H23" s="37"/>
      <c r="I23" s="22"/>
      <c r="J23" s="23">
        <f t="shared" si="1"/>
        <v>0</v>
      </c>
      <c r="K23" s="7"/>
      <c r="V23" s="5">
        <f t="shared" si="2"/>
        <v>0</v>
      </c>
      <c r="W23" s="5">
        <f t="shared" si="3"/>
        <v>0</v>
      </c>
    </row>
    <row r="24" spans="1:23" hidden="1" x14ac:dyDescent="0.3">
      <c r="A24" s="6"/>
      <c r="B24" s="19">
        <v>19</v>
      </c>
      <c r="C24" s="20"/>
      <c r="D24" s="21"/>
      <c r="E24" s="21"/>
      <c r="F24" s="37"/>
      <c r="G24" s="37"/>
      <c r="H24" s="37"/>
      <c r="I24" s="22"/>
      <c r="J24" s="23">
        <f t="shared" si="1"/>
        <v>0</v>
      </c>
      <c r="K24" s="7"/>
      <c r="V24" s="5">
        <f t="shared" si="2"/>
        <v>0</v>
      </c>
      <c r="W24" s="5">
        <f t="shared" si="3"/>
        <v>0</v>
      </c>
    </row>
    <row r="25" spans="1:23" hidden="1" x14ac:dyDescent="0.3">
      <c r="A25" s="6"/>
      <c r="B25" s="19">
        <v>20</v>
      </c>
      <c r="C25" s="20"/>
      <c r="D25" s="21"/>
      <c r="E25" s="21"/>
      <c r="F25" s="37"/>
      <c r="G25" s="37"/>
      <c r="H25" s="37"/>
      <c r="I25" s="22"/>
      <c r="J25" s="23">
        <f t="shared" si="1"/>
        <v>0</v>
      </c>
      <c r="K25" s="7"/>
      <c r="V25" s="5">
        <f t="shared" si="2"/>
        <v>0</v>
      </c>
      <c r="W25" s="5">
        <f t="shared" si="3"/>
        <v>0</v>
      </c>
    </row>
    <row r="26" spans="1:23" hidden="1" x14ac:dyDescent="0.3">
      <c r="A26" s="6"/>
      <c r="B26" s="19">
        <v>21</v>
      </c>
      <c r="C26" s="20"/>
      <c r="D26" s="21"/>
      <c r="E26" s="21"/>
      <c r="F26" s="37"/>
      <c r="G26" s="37"/>
      <c r="H26" s="37"/>
      <c r="I26" s="22"/>
      <c r="J26" s="23">
        <f t="shared" si="1"/>
        <v>0</v>
      </c>
      <c r="K26" s="7"/>
      <c r="V26" s="5">
        <f t="shared" si="2"/>
        <v>0</v>
      </c>
      <c r="W26" s="5">
        <f t="shared" si="3"/>
        <v>0</v>
      </c>
    </row>
    <row r="27" spans="1:23" hidden="1" x14ac:dyDescent="0.3">
      <c r="A27" s="6"/>
      <c r="B27" s="19">
        <v>22</v>
      </c>
      <c r="C27" s="20"/>
      <c r="D27" s="21"/>
      <c r="E27" s="21"/>
      <c r="F27" s="37"/>
      <c r="G27" s="37"/>
      <c r="H27" s="37"/>
      <c r="I27" s="22"/>
      <c r="J27" s="23">
        <f t="shared" si="1"/>
        <v>0</v>
      </c>
      <c r="K27" s="7"/>
      <c r="V27" s="5">
        <f t="shared" si="2"/>
        <v>0</v>
      </c>
      <c r="W27" s="5">
        <f t="shared" si="3"/>
        <v>0</v>
      </c>
    </row>
    <row r="28" spans="1:23" hidden="1" x14ac:dyDescent="0.3">
      <c r="A28" s="6"/>
      <c r="B28" s="19">
        <v>23</v>
      </c>
      <c r="C28" s="20"/>
      <c r="D28" s="21"/>
      <c r="E28" s="21"/>
      <c r="F28" s="37"/>
      <c r="G28" s="37"/>
      <c r="H28" s="37"/>
      <c r="I28" s="22"/>
      <c r="J28" s="23">
        <f t="shared" si="1"/>
        <v>0</v>
      </c>
      <c r="K28" s="7"/>
    </row>
    <row r="29" spans="1:23" hidden="1" x14ac:dyDescent="0.3">
      <c r="A29" s="6"/>
      <c r="B29" s="19">
        <v>24</v>
      </c>
      <c r="C29" s="20"/>
      <c r="D29" s="21"/>
      <c r="E29" s="21"/>
      <c r="F29" s="37"/>
      <c r="G29" s="37"/>
      <c r="H29" s="37"/>
      <c r="I29" s="22"/>
      <c r="J29" s="23">
        <f t="shared" si="1"/>
        <v>0</v>
      </c>
      <c r="K29" s="7"/>
    </row>
    <row r="30" spans="1:23" hidden="1" x14ac:dyDescent="0.3">
      <c r="A30" s="6"/>
      <c r="B30" s="19">
        <v>25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hidden="1" x14ac:dyDescent="0.3">
      <c r="A31" s="6"/>
      <c r="B31" s="19">
        <v>26</v>
      </c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hidden="1" thickBot="1" x14ac:dyDescent="0.35">
      <c r="A32" s="6"/>
      <c r="B32" s="19">
        <v>27</v>
      </c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94223.75</v>
      </c>
      <c r="K33" s="7"/>
      <c r="V33" s="5">
        <f>SUM(V6:V32)</f>
        <v>13</v>
      </c>
      <c r="W33" s="5">
        <f>SUM(W6:W32)</f>
        <v>0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M8:O10"/>
    <mergeCell ref="P8:R10"/>
    <mergeCell ref="B33:H3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33" r:id="rId1" xr:uid="{CA577BC4-ACF0-4D70-A7F9-02A275F8B6D5}"/>
    <hyperlink ref="M1" location="MASTER!A1" display="Back" xr:uid="{E3CEAE75-0092-4A04-A23D-F8F74D5AFC6C}"/>
  </hyperlinks>
  <pageMargins left="0" right="0" top="0" bottom="0" header="0" footer="0"/>
  <pageSetup paperSize="9" orientation="portrait"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EC894-ECEC-474E-897F-F2E00AF4D149}">
  <dimension ref="A1:W34"/>
  <sheetViews>
    <sheetView tabSelected="1" workbookViewId="0">
      <selection activeCell="M16" sqref="M16"/>
    </sheetView>
  </sheetViews>
  <sheetFormatPr defaultColWidth="9.109375" defaultRowHeight="14.4" x14ac:dyDescent="0.3"/>
  <cols>
    <col min="1" max="1" width="7" style="5" customWidth="1"/>
    <col min="2" max="2" width="3.5546875" style="5" bestFit="1" customWidth="1"/>
    <col min="3" max="3" width="11.5546875" style="5" customWidth="1"/>
    <col min="4" max="4" width="9.33203125" style="5" customWidth="1"/>
    <col min="5" max="5" width="25" style="5" customWidth="1"/>
    <col min="6" max="7" width="11.44140625" style="5" customWidth="1"/>
    <col min="8" max="8" width="11.44140625" style="36" customWidth="1"/>
    <col min="9" max="9" width="11.44140625" style="5" customWidth="1"/>
    <col min="10" max="10" width="11.44140625" style="36" customWidth="1"/>
    <col min="11" max="11" width="7" style="5" customWidth="1"/>
    <col min="12" max="12" width="5" style="5" customWidth="1"/>
    <col min="13" max="13" width="15.33203125" style="5" bestFit="1" customWidth="1"/>
    <col min="14" max="14" width="10" style="5" customWidth="1"/>
    <col min="15" max="17" width="9.109375" style="5"/>
    <col min="18" max="18" width="10.6640625" style="5" bestFit="1" customWidth="1"/>
    <col min="19" max="19" width="9.109375" style="5" customWidth="1"/>
    <col min="20" max="21" width="9.109375" style="5"/>
    <col min="22" max="23" width="9.109375" style="5" hidden="1" customWidth="1"/>
    <col min="24" max="16384" width="9.109375" style="5"/>
  </cols>
  <sheetData>
    <row r="1" spans="1:23" ht="26.4" thickBot="1" x14ac:dyDescent="0.35">
      <c r="A1" s="1"/>
      <c r="B1" s="2"/>
      <c r="C1" s="2"/>
      <c r="D1" s="2"/>
      <c r="E1" s="2"/>
      <c r="F1" s="2"/>
      <c r="G1" s="2"/>
      <c r="H1" s="3"/>
      <c r="I1" s="2"/>
      <c r="J1" s="3"/>
      <c r="K1" s="4"/>
      <c r="M1" s="50" t="s">
        <v>0</v>
      </c>
    </row>
    <row r="2" spans="1:23" ht="25.2" thickBot="1" x14ac:dyDescent="0.35">
      <c r="A2" s="6" t="s">
        <v>1</v>
      </c>
      <c r="B2" s="113" t="s">
        <v>2</v>
      </c>
      <c r="C2" s="114"/>
      <c r="D2" s="114"/>
      <c r="E2" s="114"/>
      <c r="F2" s="114"/>
      <c r="G2" s="114"/>
      <c r="H2" s="114"/>
      <c r="I2" s="114"/>
      <c r="J2" s="115"/>
      <c r="K2" s="7"/>
      <c r="M2" s="116" t="s">
        <v>3</v>
      </c>
      <c r="N2" s="118" t="s">
        <v>4</v>
      </c>
      <c r="O2" s="118" t="s">
        <v>5</v>
      </c>
      <c r="P2" s="118" t="s">
        <v>6</v>
      </c>
      <c r="Q2" s="118" t="s">
        <v>7</v>
      </c>
      <c r="R2" s="96" t="s">
        <v>8</v>
      </c>
    </row>
    <row r="3" spans="1:23" ht="16.2" thickBot="1" x14ac:dyDescent="0.35">
      <c r="A3" s="6"/>
      <c r="B3" s="98">
        <v>45839</v>
      </c>
      <c r="C3" s="99"/>
      <c r="D3" s="99"/>
      <c r="E3" s="99"/>
      <c r="F3" s="99"/>
      <c r="G3" s="99"/>
      <c r="H3" s="99"/>
      <c r="I3" s="99"/>
      <c r="J3" s="100"/>
      <c r="K3" s="7"/>
      <c r="M3" s="117"/>
      <c r="N3" s="119"/>
      <c r="O3" s="119"/>
      <c r="P3" s="119"/>
      <c r="Q3" s="119"/>
      <c r="R3" s="97"/>
    </row>
    <row r="4" spans="1:23" ht="16.2" thickBot="1" x14ac:dyDescent="0.35">
      <c r="A4" s="6"/>
      <c r="B4" s="101" t="s">
        <v>612</v>
      </c>
      <c r="C4" s="102"/>
      <c r="D4" s="102"/>
      <c r="E4" s="102"/>
      <c r="F4" s="102"/>
      <c r="G4" s="102"/>
      <c r="H4" s="102"/>
      <c r="I4" s="102"/>
      <c r="J4" s="103"/>
      <c r="K4" s="7"/>
      <c r="M4" s="104" t="s">
        <v>31</v>
      </c>
      <c r="N4" s="106">
        <f>COUNT(C6:C32)</f>
        <v>22</v>
      </c>
      <c r="O4" s="108">
        <f>V33</f>
        <v>20</v>
      </c>
      <c r="P4" s="108">
        <f>W33</f>
        <v>2</v>
      </c>
      <c r="Q4" s="110">
        <f>N4-O4-P4</f>
        <v>0</v>
      </c>
      <c r="R4" s="94">
        <f>O4/N4</f>
        <v>0.90909090909090906</v>
      </c>
    </row>
    <row r="5" spans="1:23" ht="15" thickBot="1" x14ac:dyDescent="0.35">
      <c r="A5" s="6"/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1" t="s">
        <v>14</v>
      </c>
      <c r="H5" s="12" t="s">
        <v>15</v>
      </c>
      <c r="I5" s="11" t="s">
        <v>730</v>
      </c>
      <c r="J5" s="13" t="s">
        <v>17</v>
      </c>
      <c r="K5" s="7"/>
      <c r="M5" s="105"/>
      <c r="N5" s="107"/>
      <c r="O5" s="109"/>
      <c r="P5" s="109"/>
      <c r="Q5" s="111"/>
      <c r="R5" s="112"/>
      <c r="V5" s="5" t="s">
        <v>5</v>
      </c>
      <c r="W5" s="5" t="s">
        <v>6</v>
      </c>
    </row>
    <row r="6" spans="1:23" x14ac:dyDescent="0.3">
      <c r="A6" s="6"/>
      <c r="B6" s="14">
        <v>1</v>
      </c>
      <c r="C6" s="15">
        <v>45838</v>
      </c>
      <c r="D6" s="16" t="s">
        <v>18</v>
      </c>
      <c r="E6" s="16" t="s">
        <v>782</v>
      </c>
      <c r="F6" s="51">
        <v>115</v>
      </c>
      <c r="G6" s="51">
        <v>129.5</v>
      </c>
      <c r="H6" s="51">
        <f>129.5-115</f>
        <v>14.5</v>
      </c>
      <c r="I6" s="17">
        <v>200</v>
      </c>
      <c r="J6" s="18">
        <f>H6*I6</f>
        <v>2900</v>
      </c>
      <c r="K6" s="7"/>
      <c r="M6" s="88" t="s">
        <v>19</v>
      </c>
      <c r="N6" s="90">
        <f>SUM(N4:N5)</f>
        <v>22</v>
      </c>
      <c r="O6" s="90">
        <f>SUM(O4:O5)</f>
        <v>20</v>
      </c>
      <c r="P6" s="90">
        <f>SUM(P4:P5)</f>
        <v>2</v>
      </c>
      <c r="Q6" s="92">
        <f>SUM(Q4:Q5)</f>
        <v>0</v>
      </c>
      <c r="R6" s="94">
        <f t="shared" ref="R6" si="0">O6/N6</f>
        <v>0.90909090909090906</v>
      </c>
      <c r="V6" s="5">
        <f>IF($J6&gt;0,1,0)</f>
        <v>1</v>
      </c>
      <c r="W6" s="5">
        <f>IF($J6&lt;0,1,0)</f>
        <v>0</v>
      </c>
    </row>
    <row r="7" spans="1:23" ht="15" thickBot="1" x14ac:dyDescent="0.35">
      <c r="A7" s="6"/>
      <c r="B7" s="19">
        <v>2</v>
      </c>
      <c r="C7" s="20">
        <v>45840</v>
      </c>
      <c r="D7" s="21" t="s">
        <v>18</v>
      </c>
      <c r="E7" s="21" t="s">
        <v>783</v>
      </c>
      <c r="F7" s="37">
        <v>9</v>
      </c>
      <c r="G7" s="37">
        <v>14</v>
      </c>
      <c r="H7" s="37">
        <f>14-9</f>
        <v>5</v>
      </c>
      <c r="I7" s="22">
        <v>2750</v>
      </c>
      <c r="J7" s="23">
        <f t="shared" ref="J7:J32" si="1">H7*I7</f>
        <v>13750</v>
      </c>
      <c r="K7" s="7"/>
      <c r="M7" s="89"/>
      <c r="N7" s="91"/>
      <c r="O7" s="91"/>
      <c r="P7" s="91"/>
      <c r="Q7" s="93"/>
      <c r="R7" s="95"/>
      <c r="V7" s="5">
        <f t="shared" ref="V7:V32" si="2">IF($J7&gt;0,1,0)</f>
        <v>1</v>
      </c>
      <c r="W7" s="5">
        <f t="shared" ref="W7:W32" si="3">IF($J7&lt;0,1,0)</f>
        <v>0</v>
      </c>
    </row>
    <row r="8" spans="1:23" x14ac:dyDescent="0.3">
      <c r="A8" s="6"/>
      <c r="B8" s="19">
        <v>3</v>
      </c>
      <c r="C8" s="20">
        <v>45841</v>
      </c>
      <c r="D8" s="21" t="s">
        <v>18</v>
      </c>
      <c r="E8" s="21" t="s">
        <v>784</v>
      </c>
      <c r="F8" s="37">
        <v>13</v>
      </c>
      <c r="G8" s="37">
        <v>14.35</v>
      </c>
      <c r="H8" s="37">
        <v>1.35</v>
      </c>
      <c r="I8" s="22">
        <v>1400</v>
      </c>
      <c r="J8" s="23">
        <f t="shared" si="1"/>
        <v>1890.0000000000002</v>
      </c>
      <c r="K8" s="7"/>
      <c r="M8" s="67" t="s">
        <v>20</v>
      </c>
      <c r="N8" s="68"/>
      <c r="O8" s="69"/>
      <c r="P8" s="76">
        <f>R6</f>
        <v>0.90909090909090906</v>
      </c>
      <c r="Q8" s="77"/>
      <c r="R8" s="78"/>
      <c r="V8" s="5">
        <f t="shared" si="2"/>
        <v>1</v>
      </c>
      <c r="W8" s="5">
        <f t="shared" si="3"/>
        <v>0</v>
      </c>
    </row>
    <row r="9" spans="1:23" x14ac:dyDescent="0.3">
      <c r="A9" s="6"/>
      <c r="B9" s="19">
        <v>4</v>
      </c>
      <c r="C9" s="20">
        <v>45841</v>
      </c>
      <c r="D9" s="21" t="s">
        <v>18</v>
      </c>
      <c r="E9" s="21" t="s">
        <v>785</v>
      </c>
      <c r="F9" s="37">
        <v>115</v>
      </c>
      <c r="G9" s="37">
        <v>135.94999999999999</v>
      </c>
      <c r="H9" s="37">
        <f>135.95-115</f>
        <v>20.949999999999989</v>
      </c>
      <c r="I9" s="22">
        <v>175</v>
      </c>
      <c r="J9" s="23">
        <f t="shared" si="1"/>
        <v>3666.2499999999982</v>
      </c>
      <c r="K9" s="7"/>
      <c r="M9" s="70"/>
      <c r="N9" s="71"/>
      <c r="O9" s="72"/>
      <c r="P9" s="79"/>
      <c r="Q9" s="80"/>
      <c r="R9" s="81"/>
      <c r="V9" s="5">
        <f t="shared" si="2"/>
        <v>1</v>
      </c>
      <c r="W9" s="5">
        <f t="shared" si="3"/>
        <v>0</v>
      </c>
    </row>
    <row r="10" spans="1:23" ht="15" thickBot="1" x14ac:dyDescent="0.35">
      <c r="A10" s="6"/>
      <c r="B10" s="19">
        <v>5</v>
      </c>
      <c r="C10" s="20">
        <v>45845</v>
      </c>
      <c r="D10" s="21" t="s">
        <v>18</v>
      </c>
      <c r="E10" s="21" t="s">
        <v>786</v>
      </c>
      <c r="F10" s="37">
        <v>14.5</v>
      </c>
      <c r="G10" s="37">
        <v>17.5</v>
      </c>
      <c r="H10" s="37">
        <f>17.5-14.5</f>
        <v>3</v>
      </c>
      <c r="I10" s="22">
        <v>1650</v>
      </c>
      <c r="J10" s="23">
        <f t="shared" si="1"/>
        <v>4950</v>
      </c>
      <c r="K10" s="7"/>
      <c r="M10" s="73"/>
      <c r="N10" s="74"/>
      <c r="O10" s="75"/>
      <c r="P10" s="82"/>
      <c r="Q10" s="83"/>
      <c r="R10" s="84"/>
      <c r="V10" s="5">
        <f t="shared" si="2"/>
        <v>1</v>
      </c>
      <c r="W10" s="5">
        <f t="shared" si="3"/>
        <v>0</v>
      </c>
    </row>
    <row r="11" spans="1:23" x14ac:dyDescent="0.3">
      <c r="A11" s="6"/>
      <c r="B11" s="19">
        <v>6</v>
      </c>
      <c r="C11" s="20">
        <v>45846</v>
      </c>
      <c r="D11" s="21" t="s">
        <v>18</v>
      </c>
      <c r="E11" s="21" t="s">
        <v>787</v>
      </c>
      <c r="F11" s="37">
        <v>240</v>
      </c>
      <c r="G11" s="37">
        <v>392</v>
      </c>
      <c r="H11" s="37">
        <f>392-240</f>
        <v>152</v>
      </c>
      <c r="I11" s="22">
        <v>125</v>
      </c>
      <c r="J11" s="23">
        <f t="shared" si="1"/>
        <v>19000</v>
      </c>
      <c r="K11" s="7"/>
      <c r="V11" s="5">
        <f t="shared" si="2"/>
        <v>1</v>
      </c>
      <c r="W11" s="5">
        <f t="shared" si="3"/>
        <v>0</v>
      </c>
    </row>
    <row r="12" spans="1:23" x14ac:dyDescent="0.3">
      <c r="A12" s="6"/>
      <c r="B12" s="19">
        <v>7</v>
      </c>
      <c r="C12" s="20">
        <v>45846</v>
      </c>
      <c r="D12" s="21" t="s">
        <v>18</v>
      </c>
      <c r="E12" s="21" t="s">
        <v>788</v>
      </c>
      <c r="F12" s="37">
        <v>7.5</v>
      </c>
      <c r="G12" s="37">
        <v>9</v>
      </c>
      <c r="H12" s="37">
        <f>9-7.5</f>
        <v>1.5</v>
      </c>
      <c r="I12" s="22">
        <v>1500</v>
      </c>
      <c r="J12" s="23">
        <f t="shared" si="1"/>
        <v>2250</v>
      </c>
      <c r="K12" s="7"/>
      <c r="V12" s="5">
        <f t="shared" si="2"/>
        <v>1</v>
      </c>
      <c r="W12" s="5">
        <f t="shared" si="3"/>
        <v>0</v>
      </c>
    </row>
    <row r="13" spans="1:23" x14ac:dyDescent="0.3">
      <c r="A13" s="6"/>
      <c r="B13" s="19">
        <v>8</v>
      </c>
      <c r="C13" s="20">
        <v>45847</v>
      </c>
      <c r="D13" s="21" t="s">
        <v>18</v>
      </c>
      <c r="E13" s="21" t="s">
        <v>789</v>
      </c>
      <c r="F13" s="37">
        <v>230</v>
      </c>
      <c r="G13" s="37">
        <v>300</v>
      </c>
      <c r="H13" s="37">
        <f>300-230</f>
        <v>70</v>
      </c>
      <c r="I13" s="22">
        <v>50</v>
      </c>
      <c r="J13" s="23">
        <f t="shared" si="1"/>
        <v>3500</v>
      </c>
      <c r="K13" s="7"/>
      <c r="V13" s="5">
        <f t="shared" si="2"/>
        <v>1</v>
      </c>
      <c r="W13" s="5">
        <f t="shared" si="3"/>
        <v>0</v>
      </c>
    </row>
    <row r="14" spans="1:23" x14ac:dyDescent="0.3">
      <c r="A14" s="6"/>
      <c r="B14" s="19">
        <v>9</v>
      </c>
      <c r="C14" s="20">
        <v>45848</v>
      </c>
      <c r="D14" s="21" t="s">
        <v>18</v>
      </c>
      <c r="E14" s="21" t="s">
        <v>790</v>
      </c>
      <c r="F14" s="37">
        <v>45</v>
      </c>
      <c r="G14" s="37">
        <v>53.95</v>
      </c>
      <c r="H14" s="37">
        <f>53.95-45</f>
        <v>8.9500000000000028</v>
      </c>
      <c r="I14" s="22">
        <v>600</v>
      </c>
      <c r="J14" s="23">
        <f t="shared" si="1"/>
        <v>5370.0000000000018</v>
      </c>
      <c r="K14" s="7"/>
      <c r="M14" s="5" t="s">
        <v>21</v>
      </c>
      <c r="V14" s="5">
        <f t="shared" si="2"/>
        <v>1</v>
      </c>
      <c r="W14" s="5">
        <f t="shared" si="3"/>
        <v>0</v>
      </c>
    </row>
    <row r="15" spans="1:23" x14ac:dyDescent="0.3">
      <c r="A15" s="6"/>
      <c r="B15" s="19">
        <v>10</v>
      </c>
      <c r="C15" s="20">
        <v>45849</v>
      </c>
      <c r="D15" s="21" t="s">
        <v>18</v>
      </c>
      <c r="E15" s="21" t="s">
        <v>791</v>
      </c>
      <c r="F15" s="37">
        <v>15</v>
      </c>
      <c r="G15" s="37">
        <v>17.95</v>
      </c>
      <c r="H15" s="37">
        <f>17.95-15</f>
        <v>2.9499999999999993</v>
      </c>
      <c r="I15" s="22">
        <v>1300</v>
      </c>
      <c r="J15" s="23">
        <f t="shared" si="1"/>
        <v>3834.9999999999991</v>
      </c>
      <c r="K15" s="7"/>
      <c r="V15" s="5">
        <f>IF($J15&gt;0,1,0)</f>
        <v>1</v>
      </c>
      <c r="W15" s="5">
        <f>IF($J15&lt;0,1,0)</f>
        <v>0</v>
      </c>
    </row>
    <row r="16" spans="1:23" x14ac:dyDescent="0.3">
      <c r="A16" s="6"/>
      <c r="B16" s="19">
        <v>11</v>
      </c>
      <c r="C16" s="20">
        <v>45852</v>
      </c>
      <c r="D16" s="21" t="s">
        <v>18</v>
      </c>
      <c r="E16" s="21" t="s">
        <v>792</v>
      </c>
      <c r="F16" s="37">
        <v>95</v>
      </c>
      <c r="G16" s="37">
        <v>114.85</v>
      </c>
      <c r="H16" s="37">
        <f>114.85-95</f>
        <v>19.849999999999994</v>
      </c>
      <c r="I16" s="22">
        <v>250</v>
      </c>
      <c r="J16" s="23">
        <f t="shared" si="1"/>
        <v>4962.4999999999982</v>
      </c>
      <c r="K16" s="7"/>
      <c r="V16" s="5">
        <f>IF($J16&gt;0,1,0)</f>
        <v>1</v>
      </c>
      <c r="W16" s="5">
        <f>IF($J16&lt;0,1,0)</f>
        <v>0</v>
      </c>
    </row>
    <row r="17" spans="1:23" x14ac:dyDescent="0.3">
      <c r="A17" s="6"/>
      <c r="B17" s="19">
        <v>12</v>
      </c>
      <c r="C17" s="20">
        <v>45853</v>
      </c>
      <c r="D17" s="21" t="s">
        <v>18</v>
      </c>
      <c r="E17" s="21" t="s">
        <v>793</v>
      </c>
      <c r="F17" s="37">
        <v>45</v>
      </c>
      <c r="G17" s="37">
        <v>63</v>
      </c>
      <c r="H17" s="37">
        <f>60-45</f>
        <v>15</v>
      </c>
      <c r="I17" s="22">
        <v>325</v>
      </c>
      <c r="J17" s="23">
        <f t="shared" si="1"/>
        <v>4875</v>
      </c>
      <c r="K17" s="7"/>
      <c r="V17" s="5">
        <f t="shared" si="2"/>
        <v>1</v>
      </c>
      <c r="W17" s="5">
        <f t="shared" si="3"/>
        <v>0</v>
      </c>
    </row>
    <row r="18" spans="1:23" x14ac:dyDescent="0.3">
      <c r="A18" s="6"/>
      <c r="B18" s="19">
        <v>13</v>
      </c>
      <c r="C18" s="20">
        <v>45854</v>
      </c>
      <c r="D18" s="21" t="s">
        <v>18</v>
      </c>
      <c r="E18" s="21" t="s">
        <v>794</v>
      </c>
      <c r="F18" s="37">
        <v>15</v>
      </c>
      <c r="G18" s="37">
        <v>24.35</v>
      </c>
      <c r="H18" s="37">
        <f>24.35-15</f>
        <v>9.3500000000000014</v>
      </c>
      <c r="I18" s="22">
        <v>1025</v>
      </c>
      <c r="J18" s="23">
        <f t="shared" si="1"/>
        <v>9583.7500000000018</v>
      </c>
      <c r="K18" s="7"/>
      <c r="V18" s="5">
        <f t="shared" si="2"/>
        <v>1</v>
      </c>
      <c r="W18" s="5">
        <f t="shared" si="3"/>
        <v>0</v>
      </c>
    </row>
    <row r="19" spans="1:23" x14ac:dyDescent="0.3">
      <c r="A19" s="6"/>
      <c r="B19" s="19">
        <v>14</v>
      </c>
      <c r="C19" s="20">
        <v>45855</v>
      </c>
      <c r="D19" s="21" t="s">
        <v>18</v>
      </c>
      <c r="E19" s="21" t="s">
        <v>795</v>
      </c>
      <c r="F19" s="37">
        <v>95</v>
      </c>
      <c r="G19" s="37">
        <v>157</v>
      </c>
      <c r="H19" s="37">
        <f>148-95</f>
        <v>53</v>
      </c>
      <c r="I19" s="22">
        <v>175</v>
      </c>
      <c r="J19" s="23">
        <f t="shared" si="1"/>
        <v>9275</v>
      </c>
      <c r="K19" s="7"/>
      <c r="V19" s="5">
        <f t="shared" si="2"/>
        <v>1</v>
      </c>
      <c r="W19" s="5">
        <f t="shared" si="3"/>
        <v>0</v>
      </c>
    </row>
    <row r="20" spans="1:23" x14ac:dyDescent="0.3">
      <c r="A20" s="6"/>
      <c r="B20" s="19">
        <v>15</v>
      </c>
      <c r="C20" s="20">
        <v>45856</v>
      </c>
      <c r="D20" s="21" t="s">
        <v>18</v>
      </c>
      <c r="E20" s="21" t="s">
        <v>796</v>
      </c>
      <c r="F20" s="37">
        <v>56</v>
      </c>
      <c r="G20" s="37">
        <v>85</v>
      </c>
      <c r="H20" s="37">
        <f>85-56</f>
        <v>29</v>
      </c>
      <c r="I20" s="22">
        <v>325</v>
      </c>
      <c r="J20" s="23">
        <f t="shared" si="1"/>
        <v>9425</v>
      </c>
      <c r="K20" s="7"/>
      <c r="V20" s="5">
        <f t="shared" si="2"/>
        <v>1</v>
      </c>
      <c r="W20" s="5">
        <f t="shared" si="3"/>
        <v>0</v>
      </c>
    </row>
    <row r="21" spans="1:23" x14ac:dyDescent="0.3">
      <c r="A21" s="6"/>
      <c r="B21" s="19">
        <v>16</v>
      </c>
      <c r="C21" s="20">
        <v>45859</v>
      </c>
      <c r="D21" s="21" t="s">
        <v>18</v>
      </c>
      <c r="E21" s="21" t="s">
        <v>797</v>
      </c>
      <c r="F21" s="37">
        <v>78</v>
      </c>
      <c r="G21" s="37">
        <v>55</v>
      </c>
      <c r="H21" s="37">
        <v>-23</v>
      </c>
      <c r="I21" s="22">
        <v>200</v>
      </c>
      <c r="J21" s="23">
        <f t="shared" si="1"/>
        <v>-4600</v>
      </c>
      <c r="K21" s="7"/>
      <c r="O21" s="24"/>
      <c r="P21" s="24"/>
      <c r="Q21" s="24"/>
      <c r="R21" s="24"/>
      <c r="V21" s="5">
        <f t="shared" si="2"/>
        <v>0</v>
      </c>
      <c r="W21" s="5">
        <f t="shared" si="3"/>
        <v>1</v>
      </c>
    </row>
    <row r="22" spans="1:23" x14ac:dyDescent="0.3">
      <c r="A22" s="6"/>
      <c r="B22" s="19">
        <v>17</v>
      </c>
      <c r="C22" s="20">
        <v>45862</v>
      </c>
      <c r="D22" s="21" t="s">
        <v>18</v>
      </c>
      <c r="E22" s="21" t="s">
        <v>798</v>
      </c>
      <c r="F22" s="37">
        <v>10</v>
      </c>
      <c r="G22" s="37">
        <v>12.85</v>
      </c>
      <c r="H22" s="37">
        <v>2.85</v>
      </c>
      <c r="I22" s="22">
        <v>1275</v>
      </c>
      <c r="J22" s="23">
        <f t="shared" si="1"/>
        <v>3633.75</v>
      </c>
      <c r="K22" s="7"/>
      <c r="V22" s="5">
        <f t="shared" si="2"/>
        <v>1</v>
      </c>
      <c r="W22" s="5">
        <f t="shared" si="3"/>
        <v>0</v>
      </c>
    </row>
    <row r="23" spans="1:23" x14ac:dyDescent="0.3">
      <c r="A23" s="6"/>
      <c r="B23" s="19">
        <v>18</v>
      </c>
      <c r="C23" s="20">
        <v>45863</v>
      </c>
      <c r="D23" s="21" t="s">
        <v>18</v>
      </c>
      <c r="E23" s="21" t="s">
        <v>799</v>
      </c>
      <c r="F23" s="37">
        <v>45</v>
      </c>
      <c r="G23" s="37">
        <v>73</v>
      </c>
      <c r="H23" s="37">
        <f>73-45</f>
        <v>28</v>
      </c>
      <c r="I23" s="22">
        <v>250</v>
      </c>
      <c r="J23" s="23">
        <f t="shared" si="1"/>
        <v>7000</v>
      </c>
      <c r="K23" s="7"/>
      <c r="V23" s="5">
        <f t="shared" si="2"/>
        <v>1</v>
      </c>
      <c r="W23" s="5">
        <f t="shared" si="3"/>
        <v>0</v>
      </c>
    </row>
    <row r="24" spans="1:23" x14ac:dyDescent="0.3">
      <c r="A24" s="6"/>
      <c r="B24" s="19">
        <v>19</v>
      </c>
      <c r="C24" s="20">
        <v>45863</v>
      </c>
      <c r="D24" s="21" t="s">
        <v>18</v>
      </c>
      <c r="E24" s="21" t="s">
        <v>800</v>
      </c>
      <c r="F24" s="37">
        <v>33</v>
      </c>
      <c r="G24" s="37">
        <v>51.6</v>
      </c>
      <c r="H24" s="37">
        <f>51.6-33</f>
        <v>18.600000000000001</v>
      </c>
      <c r="I24" s="22">
        <v>125</v>
      </c>
      <c r="J24" s="23">
        <f t="shared" si="1"/>
        <v>2325</v>
      </c>
      <c r="K24" s="7"/>
      <c r="V24" s="5">
        <f t="shared" si="2"/>
        <v>1</v>
      </c>
      <c r="W24" s="5">
        <f t="shared" si="3"/>
        <v>0</v>
      </c>
    </row>
    <row r="25" spans="1:23" x14ac:dyDescent="0.3">
      <c r="A25" s="6"/>
      <c r="B25" s="19">
        <v>20</v>
      </c>
      <c r="C25" s="20">
        <v>45867</v>
      </c>
      <c r="D25" s="21" t="s">
        <v>18</v>
      </c>
      <c r="E25" s="21" t="s">
        <v>801</v>
      </c>
      <c r="F25" s="37">
        <v>150</v>
      </c>
      <c r="G25" s="37">
        <v>216</v>
      </c>
      <c r="H25" s="37">
        <f>216-150</f>
        <v>66</v>
      </c>
      <c r="I25" s="22">
        <v>75</v>
      </c>
      <c r="J25" s="23">
        <f t="shared" si="1"/>
        <v>4950</v>
      </c>
      <c r="K25" s="7"/>
      <c r="V25" s="5">
        <f t="shared" si="2"/>
        <v>1</v>
      </c>
      <c r="W25" s="5">
        <f t="shared" si="3"/>
        <v>0</v>
      </c>
    </row>
    <row r="26" spans="1:23" x14ac:dyDescent="0.3">
      <c r="A26" s="6"/>
      <c r="B26" s="19">
        <v>21</v>
      </c>
      <c r="C26" s="20">
        <v>45868</v>
      </c>
      <c r="D26" s="21" t="s">
        <v>18</v>
      </c>
      <c r="E26" s="21" t="s">
        <v>802</v>
      </c>
      <c r="F26" s="37">
        <v>6.5</v>
      </c>
      <c r="G26" s="37">
        <v>1</v>
      </c>
      <c r="H26" s="37">
        <v>-5.5</v>
      </c>
      <c r="I26" s="22">
        <v>550</v>
      </c>
      <c r="J26" s="23">
        <f t="shared" si="1"/>
        <v>-3025</v>
      </c>
      <c r="K26" s="7"/>
      <c r="V26" s="5">
        <f t="shared" si="2"/>
        <v>0</v>
      </c>
      <c r="W26" s="5">
        <f t="shared" si="3"/>
        <v>1</v>
      </c>
    </row>
    <row r="27" spans="1:23" ht="15" thickBot="1" x14ac:dyDescent="0.35">
      <c r="A27" s="6"/>
      <c r="B27" s="19">
        <v>22</v>
      </c>
      <c r="C27" s="20">
        <v>45869</v>
      </c>
      <c r="D27" s="21" t="s">
        <v>18</v>
      </c>
      <c r="E27" s="21" t="s">
        <v>803</v>
      </c>
      <c r="F27" s="37">
        <v>650</v>
      </c>
      <c r="G27" s="37">
        <v>715</v>
      </c>
      <c r="H27" s="37">
        <f>715-650</f>
        <v>65</v>
      </c>
      <c r="I27" s="22">
        <v>15</v>
      </c>
      <c r="J27" s="23">
        <f t="shared" si="1"/>
        <v>975</v>
      </c>
      <c r="K27" s="7"/>
      <c r="V27" s="5">
        <f t="shared" si="2"/>
        <v>1</v>
      </c>
      <c r="W27" s="5">
        <f t="shared" si="3"/>
        <v>0</v>
      </c>
    </row>
    <row r="28" spans="1:23" hidden="1" x14ac:dyDescent="0.3">
      <c r="A28" s="6"/>
      <c r="B28" s="19">
        <v>23</v>
      </c>
      <c r="C28" s="20"/>
      <c r="D28" s="21"/>
      <c r="E28" s="21"/>
      <c r="F28" s="37"/>
      <c r="G28" s="37"/>
      <c r="H28" s="37"/>
      <c r="I28" s="22"/>
      <c r="J28" s="23">
        <f t="shared" si="1"/>
        <v>0</v>
      </c>
      <c r="K28" s="7"/>
    </row>
    <row r="29" spans="1:23" hidden="1" x14ac:dyDescent="0.3">
      <c r="A29" s="6"/>
      <c r="B29" s="19">
        <v>24</v>
      </c>
      <c r="C29" s="20"/>
      <c r="D29" s="21"/>
      <c r="E29" s="21"/>
      <c r="F29" s="37"/>
      <c r="G29" s="37"/>
      <c r="H29" s="37"/>
      <c r="I29" s="22"/>
      <c r="J29" s="23">
        <f t="shared" si="1"/>
        <v>0</v>
      </c>
      <c r="K29" s="7"/>
    </row>
    <row r="30" spans="1:23" hidden="1" x14ac:dyDescent="0.3">
      <c r="A30" s="6"/>
      <c r="B30" s="19">
        <v>25</v>
      </c>
      <c r="C30" s="26"/>
      <c r="D30" s="27"/>
      <c r="E30" s="27"/>
      <c r="F30" s="52"/>
      <c r="G30" s="52"/>
      <c r="H30" s="52"/>
      <c r="I30" s="28"/>
      <c r="J30" s="23">
        <f t="shared" si="1"/>
        <v>0</v>
      </c>
      <c r="K30" s="7"/>
    </row>
    <row r="31" spans="1:23" hidden="1" x14ac:dyDescent="0.3">
      <c r="A31" s="6"/>
      <c r="B31" s="19">
        <v>26</v>
      </c>
      <c r="C31" s="26"/>
      <c r="D31" s="27"/>
      <c r="E31" s="27"/>
      <c r="F31" s="52"/>
      <c r="G31" s="52"/>
      <c r="H31" s="52"/>
      <c r="I31" s="28"/>
      <c r="J31" s="23">
        <f t="shared" si="1"/>
        <v>0</v>
      </c>
      <c r="K31" s="7"/>
    </row>
    <row r="32" spans="1:23" ht="15" hidden="1" thickBot="1" x14ac:dyDescent="0.35">
      <c r="A32" s="6"/>
      <c r="B32" s="19">
        <v>27</v>
      </c>
      <c r="C32" s="26"/>
      <c r="D32" s="27"/>
      <c r="E32" s="27"/>
      <c r="F32" s="28"/>
      <c r="G32" s="28"/>
      <c r="H32" s="27"/>
      <c r="I32" s="28"/>
      <c r="J32" s="29">
        <f t="shared" si="1"/>
        <v>0</v>
      </c>
      <c r="K32" s="7"/>
      <c r="V32" s="5">
        <f t="shared" si="2"/>
        <v>0</v>
      </c>
      <c r="W32" s="5">
        <f t="shared" si="3"/>
        <v>0</v>
      </c>
    </row>
    <row r="33" spans="1:23" ht="24" thickBot="1" x14ac:dyDescent="0.5">
      <c r="A33" s="6"/>
      <c r="B33" s="85" t="s">
        <v>22</v>
      </c>
      <c r="C33" s="86"/>
      <c r="D33" s="86"/>
      <c r="E33" s="86"/>
      <c r="F33" s="86"/>
      <c r="G33" s="86"/>
      <c r="H33" s="87"/>
      <c r="I33" s="30" t="s">
        <v>23</v>
      </c>
      <c r="J33" s="31">
        <f>SUM(J6:J32)</f>
        <v>110491.25</v>
      </c>
      <c r="K33" s="7"/>
      <c r="V33" s="5">
        <f>SUM(V6:V32)</f>
        <v>20</v>
      </c>
      <c r="W33" s="5">
        <f>SUM(W6:W32)</f>
        <v>2</v>
      </c>
    </row>
    <row r="34" spans="1:23" ht="30" customHeight="1" thickBot="1" x14ac:dyDescent="0.35">
      <c r="A34" s="32"/>
      <c r="B34" s="33"/>
      <c r="C34" s="33"/>
      <c r="D34" s="33"/>
      <c r="E34" s="33"/>
      <c r="F34" s="33"/>
      <c r="G34" s="33"/>
      <c r="H34" s="34"/>
      <c r="I34" s="33"/>
      <c r="J34" s="34"/>
      <c r="K34" s="35"/>
    </row>
  </sheetData>
  <mergeCells count="24"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8:O10"/>
    <mergeCell ref="P8:R10"/>
    <mergeCell ref="B33:H33"/>
    <mergeCell ref="M6:M7"/>
    <mergeCell ref="N6:N7"/>
    <mergeCell ref="O6:O7"/>
    <mergeCell ref="P6:P7"/>
    <mergeCell ref="Q6:Q7"/>
    <mergeCell ref="R6:R7"/>
  </mergeCells>
  <hyperlinks>
    <hyperlink ref="B33" r:id="rId1" xr:uid="{B34C910B-9E7A-482C-912E-832601902338}"/>
    <hyperlink ref="M1" location="MASTER!A1" display="Back" xr:uid="{291C8B4B-CD2F-4028-84B0-A7992C13A742}"/>
  </hyperlinks>
  <pageMargins left="0" right="0" top="0" bottom="0" header="0" footer="0"/>
  <pageSetup paperSize="9" orientation="portrait"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1:R43"/>
  <sheetViews>
    <sheetView topLeftCell="A16" zoomScale="90" zoomScaleNormal="90" zoomScaleSheetLayoutView="90" workbookViewId="0">
      <selection activeCell="L42" sqref="L42"/>
    </sheetView>
  </sheetViews>
  <sheetFormatPr defaultColWidth="9.109375" defaultRowHeight="14.4" x14ac:dyDescent="0.3"/>
  <cols>
    <col min="1" max="1" width="16.109375" style="38" customWidth="1"/>
    <col min="2" max="2" width="8.88671875" style="39" customWidth="1"/>
    <col min="3" max="3" width="19.44140625" style="39" customWidth="1"/>
    <col min="4" max="4" width="1.44140625" style="39" customWidth="1"/>
    <col min="5" max="5" width="8.88671875" style="38" customWidth="1"/>
    <col min="6" max="6" width="19.44140625" style="38" customWidth="1"/>
    <col min="7" max="7" width="1.44140625" style="38" customWidth="1"/>
    <col min="8" max="8" width="8.88671875" style="38" customWidth="1"/>
    <col min="9" max="9" width="19.44140625" style="38" customWidth="1"/>
    <col min="10" max="10" width="1.44140625" style="38" customWidth="1"/>
    <col min="11" max="11" width="8.88671875" style="38" customWidth="1"/>
    <col min="12" max="12" width="19.44140625" style="38" customWidth="1"/>
    <col min="13" max="13" width="1.44140625" style="38" customWidth="1"/>
    <col min="14" max="14" width="8.88671875" style="38" customWidth="1"/>
    <col min="15" max="15" width="19.44140625" style="38" customWidth="1"/>
    <col min="16" max="16" width="1.88671875" style="38" customWidth="1"/>
    <col min="17" max="17" width="8.88671875" style="38" customWidth="1"/>
    <col min="18" max="18" width="19.44140625" style="38" customWidth="1"/>
    <col min="19" max="19" width="16.109375" style="38" customWidth="1"/>
    <col min="20" max="16384" width="9.109375" style="38"/>
  </cols>
  <sheetData>
    <row r="1" spans="2:18" ht="15" thickBot="1" x14ac:dyDescent="0.35">
      <c r="B1" s="38"/>
      <c r="C1" s="38"/>
      <c r="D1" s="38"/>
    </row>
    <row r="2" spans="2:18" ht="14.25" customHeight="1" x14ac:dyDescent="0.3">
      <c r="B2" s="120"/>
      <c r="C2" s="121"/>
      <c r="D2" s="121"/>
      <c r="E2" s="122"/>
      <c r="F2" s="129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2:18" ht="14.25" customHeight="1" x14ac:dyDescent="0.3">
      <c r="B3" s="123"/>
      <c r="C3" s="124"/>
      <c r="D3" s="124"/>
      <c r="E3" s="125"/>
      <c r="F3" s="132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4"/>
    </row>
    <row r="4" spans="2:18" ht="14.25" customHeight="1" x14ac:dyDescent="0.3">
      <c r="B4" s="123"/>
      <c r="C4" s="124"/>
      <c r="D4" s="124"/>
      <c r="E4" s="125"/>
      <c r="F4" s="132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4"/>
    </row>
    <row r="5" spans="2:18" ht="14.25" customHeight="1" x14ac:dyDescent="0.3">
      <c r="B5" s="123"/>
      <c r="C5" s="124"/>
      <c r="D5" s="124"/>
      <c r="E5" s="125"/>
      <c r="F5" s="132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4"/>
    </row>
    <row r="6" spans="2:18" ht="14.25" customHeight="1" x14ac:dyDescent="0.3">
      <c r="B6" s="123"/>
      <c r="C6" s="124"/>
      <c r="D6" s="124"/>
      <c r="E6" s="125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/>
    </row>
    <row r="7" spans="2:18" ht="14.25" customHeight="1" x14ac:dyDescent="0.3">
      <c r="B7" s="123"/>
      <c r="C7" s="124"/>
      <c r="D7" s="124"/>
      <c r="E7" s="125"/>
      <c r="F7" s="132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4"/>
    </row>
    <row r="8" spans="2:18" ht="14.25" customHeight="1" x14ac:dyDescent="0.3">
      <c r="B8" s="123"/>
      <c r="C8" s="124"/>
      <c r="D8" s="124"/>
      <c r="E8" s="125"/>
      <c r="F8" s="132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4"/>
    </row>
    <row r="9" spans="2:18" ht="14.25" customHeight="1" x14ac:dyDescent="0.3">
      <c r="B9" s="123"/>
      <c r="C9" s="124"/>
      <c r="D9" s="124"/>
      <c r="E9" s="125"/>
      <c r="F9" s="132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4"/>
    </row>
    <row r="10" spans="2:18" ht="14.25" customHeight="1" x14ac:dyDescent="0.3">
      <c r="B10" s="123"/>
      <c r="C10" s="124"/>
      <c r="D10" s="124"/>
      <c r="E10" s="125"/>
      <c r="F10" s="132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4"/>
    </row>
    <row r="11" spans="2:18" ht="15.75" customHeight="1" thickBot="1" x14ac:dyDescent="0.35">
      <c r="B11" s="126"/>
      <c r="C11" s="127"/>
      <c r="D11" s="127"/>
      <c r="E11" s="128"/>
      <c r="F11" s="135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7"/>
    </row>
    <row r="12" spans="2:18" ht="15" thickBot="1" x14ac:dyDescent="0.35">
      <c r="B12" s="38"/>
      <c r="C12" s="38"/>
      <c r="D12" s="38"/>
    </row>
    <row r="13" spans="2:18" ht="15" customHeight="1" x14ac:dyDescent="0.3">
      <c r="B13" s="138" t="s">
        <v>24</v>
      </c>
      <c r="C13" s="139"/>
      <c r="D13" s="142" t="s">
        <v>25</v>
      </c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39" t="s">
        <v>24</v>
      </c>
      <c r="R13" s="144"/>
    </row>
    <row r="14" spans="2:18" ht="15.75" customHeight="1" thickBot="1" x14ac:dyDescent="0.35">
      <c r="B14" s="140"/>
      <c r="C14" s="141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1"/>
      <c r="R14" s="145"/>
    </row>
    <row r="15" spans="2:18" ht="15" thickBot="1" x14ac:dyDescent="0.35"/>
    <row r="16" spans="2:18" ht="15" thickBot="1" x14ac:dyDescent="0.35">
      <c r="B16" s="40" t="s">
        <v>26</v>
      </c>
      <c r="C16" s="41" t="s">
        <v>27</v>
      </c>
      <c r="E16" s="40" t="s">
        <v>26</v>
      </c>
      <c r="F16" s="41" t="s">
        <v>27</v>
      </c>
      <c r="G16" s="39"/>
      <c r="H16" s="40" t="s">
        <v>26</v>
      </c>
      <c r="I16" s="41" t="s">
        <v>27</v>
      </c>
      <c r="K16" s="40" t="s">
        <v>26</v>
      </c>
      <c r="L16" s="41" t="s">
        <v>27</v>
      </c>
      <c r="N16" s="40" t="s">
        <v>26</v>
      </c>
      <c r="O16" s="41" t="s">
        <v>27</v>
      </c>
      <c r="Q16" s="40" t="s">
        <v>26</v>
      </c>
      <c r="R16" s="41" t="s">
        <v>27</v>
      </c>
    </row>
    <row r="17" spans="2:18" x14ac:dyDescent="0.3">
      <c r="B17" s="42">
        <v>2018</v>
      </c>
      <c r="C17" s="43"/>
      <c r="E17" s="55">
        <v>2019</v>
      </c>
      <c r="F17" s="56" t="s">
        <v>53</v>
      </c>
      <c r="G17" s="39"/>
      <c r="H17" s="58">
        <v>2020</v>
      </c>
      <c r="I17" s="59" t="s">
        <v>53</v>
      </c>
      <c r="K17" s="58">
        <v>2021</v>
      </c>
      <c r="L17" s="59" t="s">
        <v>53</v>
      </c>
      <c r="N17" s="58">
        <v>2022</v>
      </c>
      <c r="O17" s="61" t="s">
        <v>53</v>
      </c>
      <c r="Q17" s="44">
        <v>2023</v>
      </c>
      <c r="R17" s="59" t="s">
        <v>462</v>
      </c>
    </row>
    <row r="18" spans="2:18" x14ac:dyDescent="0.3">
      <c r="B18" s="45">
        <v>2018</v>
      </c>
      <c r="C18" s="46"/>
      <c r="E18" s="55">
        <v>2019</v>
      </c>
      <c r="F18" s="56" t="s">
        <v>54</v>
      </c>
      <c r="G18" s="39"/>
      <c r="H18" s="58">
        <v>2020</v>
      </c>
      <c r="I18" s="59" t="s">
        <v>54</v>
      </c>
      <c r="K18" s="58">
        <v>2021</v>
      </c>
      <c r="L18" s="59" t="s">
        <v>54</v>
      </c>
      <c r="N18" s="58">
        <v>2022</v>
      </c>
      <c r="O18" s="61" t="s">
        <v>54</v>
      </c>
      <c r="Q18" s="47">
        <v>2023</v>
      </c>
      <c r="R18" s="59" t="s">
        <v>463</v>
      </c>
    </row>
    <row r="19" spans="2:18" x14ac:dyDescent="0.3">
      <c r="B19" s="45">
        <v>2018</v>
      </c>
      <c r="C19" s="46"/>
      <c r="E19" s="55">
        <v>2019</v>
      </c>
      <c r="F19" s="56" t="s">
        <v>55</v>
      </c>
      <c r="G19" s="39"/>
      <c r="H19" s="58">
        <v>2020</v>
      </c>
      <c r="I19" s="59" t="s">
        <v>55</v>
      </c>
      <c r="K19" s="58">
        <v>2021</v>
      </c>
      <c r="L19" s="59" t="s">
        <v>55</v>
      </c>
      <c r="N19" s="58">
        <v>2022</v>
      </c>
      <c r="O19" s="61" t="s">
        <v>55</v>
      </c>
      <c r="Q19" s="47">
        <v>2023</v>
      </c>
      <c r="R19" s="59" t="s">
        <v>464</v>
      </c>
    </row>
    <row r="20" spans="2:18" x14ac:dyDescent="0.3">
      <c r="B20" s="45">
        <v>2018</v>
      </c>
      <c r="C20" s="46"/>
      <c r="E20" s="55">
        <v>2019</v>
      </c>
      <c r="F20" s="56" t="s">
        <v>56</v>
      </c>
      <c r="G20" s="39"/>
      <c r="H20" s="58">
        <v>2020</v>
      </c>
      <c r="I20" s="59" t="s">
        <v>56</v>
      </c>
      <c r="K20" s="58">
        <v>2021</v>
      </c>
      <c r="L20" s="59" t="s">
        <v>56</v>
      </c>
      <c r="N20" s="58">
        <v>2022</v>
      </c>
      <c r="O20" s="61" t="s">
        <v>56</v>
      </c>
      <c r="Q20" s="47">
        <v>2023</v>
      </c>
      <c r="R20" s="59" t="s">
        <v>465</v>
      </c>
    </row>
    <row r="21" spans="2:18" x14ac:dyDescent="0.3">
      <c r="B21" s="45">
        <v>2018</v>
      </c>
      <c r="C21" s="46"/>
      <c r="E21" s="55">
        <v>2019</v>
      </c>
      <c r="F21" s="56" t="s">
        <v>57</v>
      </c>
      <c r="G21" s="39"/>
      <c r="H21" s="58">
        <v>2020</v>
      </c>
      <c r="I21" s="59" t="s">
        <v>57</v>
      </c>
      <c r="K21" s="58">
        <v>2021</v>
      </c>
      <c r="L21" s="59" t="s">
        <v>57</v>
      </c>
      <c r="N21" s="58">
        <v>2022</v>
      </c>
      <c r="O21" s="61" t="s">
        <v>57</v>
      </c>
      <c r="Q21" s="47">
        <v>2023</v>
      </c>
      <c r="R21" s="59" t="s">
        <v>466</v>
      </c>
    </row>
    <row r="22" spans="2:18" x14ac:dyDescent="0.3">
      <c r="B22" s="45">
        <v>2018</v>
      </c>
      <c r="C22" s="46"/>
      <c r="E22" s="55">
        <v>2019</v>
      </c>
      <c r="F22" s="56" t="s">
        <v>58</v>
      </c>
      <c r="G22" s="39"/>
      <c r="H22" s="58">
        <v>2020</v>
      </c>
      <c r="I22" s="59" t="s">
        <v>58</v>
      </c>
      <c r="K22" s="58">
        <v>2021</v>
      </c>
      <c r="L22" s="59" t="s">
        <v>58</v>
      </c>
      <c r="N22" s="58">
        <v>2022</v>
      </c>
      <c r="O22" s="61" t="s">
        <v>58</v>
      </c>
      <c r="Q22" s="47">
        <v>2023</v>
      </c>
      <c r="R22" s="59" t="s">
        <v>467</v>
      </c>
    </row>
    <row r="23" spans="2:18" x14ac:dyDescent="0.3">
      <c r="B23" s="45">
        <v>2018</v>
      </c>
      <c r="C23" s="46"/>
      <c r="E23" s="55">
        <v>2019</v>
      </c>
      <c r="F23" s="56" t="s">
        <v>59</v>
      </c>
      <c r="G23" s="39"/>
      <c r="H23" s="58">
        <v>2020</v>
      </c>
      <c r="I23" s="59" t="s">
        <v>59</v>
      </c>
      <c r="K23" s="58">
        <v>2021</v>
      </c>
      <c r="L23" s="59" t="s">
        <v>59</v>
      </c>
      <c r="N23" s="58">
        <v>2022</v>
      </c>
      <c r="O23" s="61" t="s">
        <v>59</v>
      </c>
      <c r="Q23" s="47">
        <v>2023</v>
      </c>
      <c r="R23" s="59" t="s">
        <v>468</v>
      </c>
    </row>
    <row r="24" spans="2:18" x14ac:dyDescent="0.3">
      <c r="B24" s="45">
        <v>2018</v>
      </c>
      <c r="C24" s="46"/>
      <c r="E24" s="55">
        <v>2019</v>
      </c>
      <c r="F24" s="56" t="s">
        <v>60</v>
      </c>
      <c r="G24" s="39"/>
      <c r="H24" s="58">
        <v>2020</v>
      </c>
      <c r="I24" s="59" t="s">
        <v>60</v>
      </c>
      <c r="K24" s="58">
        <v>2021</v>
      </c>
      <c r="L24" s="59" t="s">
        <v>60</v>
      </c>
      <c r="N24" s="58">
        <v>2022</v>
      </c>
      <c r="O24" s="61" t="s">
        <v>60</v>
      </c>
      <c r="Q24" s="47">
        <v>2023</v>
      </c>
      <c r="R24" s="59" t="s">
        <v>469</v>
      </c>
    </row>
    <row r="25" spans="2:18" x14ac:dyDescent="0.3">
      <c r="B25" s="45">
        <v>2018</v>
      </c>
      <c r="C25" s="46"/>
      <c r="E25" s="55">
        <v>2019</v>
      </c>
      <c r="F25" s="56" t="s">
        <v>61</v>
      </c>
      <c r="G25" s="39"/>
      <c r="H25" s="58">
        <v>2020</v>
      </c>
      <c r="I25" s="59" t="s">
        <v>61</v>
      </c>
      <c r="K25" s="58">
        <v>2021</v>
      </c>
      <c r="L25" s="59" t="s">
        <v>61</v>
      </c>
      <c r="N25" s="58">
        <v>2022</v>
      </c>
      <c r="O25" s="61" t="s">
        <v>61</v>
      </c>
      <c r="Q25" s="47">
        <v>2023</v>
      </c>
      <c r="R25" s="59" t="s">
        <v>470</v>
      </c>
    </row>
    <row r="26" spans="2:18" x14ac:dyDescent="0.3">
      <c r="B26" s="45">
        <v>2018</v>
      </c>
      <c r="C26" s="46"/>
      <c r="E26" s="55">
        <v>2019</v>
      </c>
      <c r="F26" s="56" t="s">
        <v>62</v>
      </c>
      <c r="G26" s="39"/>
      <c r="H26" s="58">
        <v>2020</v>
      </c>
      <c r="I26" s="59" t="s">
        <v>62</v>
      </c>
      <c r="K26" s="58">
        <v>2021</v>
      </c>
      <c r="L26" s="59" t="s">
        <v>62</v>
      </c>
      <c r="N26" s="58">
        <v>2022</v>
      </c>
      <c r="O26" s="61" t="s">
        <v>62</v>
      </c>
      <c r="Q26" s="47">
        <v>2023</v>
      </c>
      <c r="R26" s="59" t="s">
        <v>471</v>
      </c>
    </row>
    <row r="27" spans="2:18" x14ac:dyDescent="0.3">
      <c r="B27" s="45">
        <v>2018</v>
      </c>
      <c r="C27" s="46" t="s">
        <v>28</v>
      </c>
      <c r="E27" s="55">
        <v>2019</v>
      </c>
      <c r="F27" s="56" t="s">
        <v>28</v>
      </c>
      <c r="G27" s="39"/>
      <c r="H27" s="58">
        <v>2020</v>
      </c>
      <c r="I27" s="59" t="s">
        <v>28</v>
      </c>
      <c r="K27" s="58">
        <v>2021</v>
      </c>
      <c r="L27" s="59" t="s">
        <v>28</v>
      </c>
      <c r="N27" s="58">
        <v>2022</v>
      </c>
      <c r="O27" s="61" t="s">
        <v>28</v>
      </c>
      <c r="Q27" s="47">
        <v>2023</v>
      </c>
      <c r="R27" s="59" t="s">
        <v>472</v>
      </c>
    </row>
    <row r="28" spans="2:18" ht="15" thickBot="1" x14ac:dyDescent="0.35">
      <c r="B28" s="48">
        <v>2018</v>
      </c>
      <c r="C28" s="49" t="s">
        <v>29</v>
      </c>
      <c r="E28" s="53">
        <v>2019</v>
      </c>
      <c r="F28" s="54" t="s">
        <v>29</v>
      </c>
      <c r="G28" s="39"/>
      <c r="H28" s="57">
        <v>2020</v>
      </c>
      <c r="I28" s="59" t="s">
        <v>29</v>
      </c>
      <c r="K28" s="58">
        <v>2021</v>
      </c>
      <c r="L28" s="59" t="s">
        <v>29</v>
      </c>
      <c r="N28" s="58">
        <v>2022</v>
      </c>
      <c r="O28" s="60" t="s">
        <v>29</v>
      </c>
      <c r="Q28" s="47">
        <v>2023</v>
      </c>
      <c r="R28" s="59" t="s">
        <v>473</v>
      </c>
    </row>
    <row r="29" spans="2:18" x14ac:dyDescent="0.3">
      <c r="G29" s="39"/>
    </row>
    <row r="30" spans="2:18" ht="15" thickBot="1" x14ac:dyDescent="0.35">
      <c r="G30" s="39"/>
    </row>
    <row r="31" spans="2:18" ht="15" thickBot="1" x14ac:dyDescent="0.35">
      <c r="B31" s="40" t="s">
        <v>26</v>
      </c>
      <c r="C31" s="41" t="s">
        <v>27</v>
      </c>
      <c r="E31" s="40" t="s">
        <v>26</v>
      </c>
      <c r="F31" s="41" t="s">
        <v>27</v>
      </c>
    </row>
    <row r="32" spans="2:18" x14ac:dyDescent="0.3">
      <c r="B32" s="42">
        <v>2024</v>
      </c>
      <c r="C32" s="43" t="s">
        <v>462</v>
      </c>
      <c r="E32" s="44">
        <v>2025</v>
      </c>
      <c r="F32" s="66" t="s">
        <v>462</v>
      </c>
    </row>
    <row r="33" spans="2:6" x14ac:dyDescent="0.3">
      <c r="B33" s="45">
        <v>2024</v>
      </c>
      <c r="C33" s="46" t="s">
        <v>463</v>
      </c>
      <c r="E33" s="47">
        <v>2025</v>
      </c>
      <c r="F33" s="66" t="s">
        <v>463</v>
      </c>
    </row>
    <row r="34" spans="2:6" x14ac:dyDescent="0.3">
      <c r="B34" s="45">
        <v>2024</v>
      </c>
      <c r="C34" s="46" t="s">
        <v>464</v>
      </c>
      <c r="E34" s="62">
        <v>2025</v>
      </c>
      <c r="F34" s="66" t="s">
        <v>464</v>
      </c>
    </row>
    <row r="35" spans="2:6" x14ac:dyDescent="0.3">
      <c r="B35" s="45">
        <v>2024</v>
      </c>
      <c r="C35" s="46" t="s">
        <v>465</v>
      </c>
      <c r="E35" s="62">
        <v>2025</v>
      </c>
      <c r="F35" s="66" t="s">
        <v>465</v>
      </c>
    </row>
    <row r="36" spans="2:6" x14ac:dyDescent="0.3">
      <c r="B36" s="45">
        <v>2024</v>
      </c>
      <c r="C36" s="46" t="s">
        <v>466</v>
      </c>
      <c r="E36" s="62">
        <v>2025</v>
      </c>
      <c r="F36" s="66" t="s">
        <v>466</v>
      </c>
    </row>
    <row r="37" spans="2:6" x14ac:dyDescent="0.3">
      <c r="B37" s="45">
        <v>2024</v>
      </c>
      <c r="C37" s="46" t="s">
        <v>467</v>
      </c>
      <c r="E37" s="62">
        <v>2025</v>
      </c>
      <c r="F37" s="66" t="s">
        <v>467</v>
      </c>
    </row>
    <row r="38" spans="2:6" x14ac:dyDescent="0.3">
      <c r="B38" s="45">
        <v>2024</v>
      </c>
      <c r="C38" s="46" t="s">
        <v>468</v>
      </c>
      <c r="E38" s="62">
        <v>2025</v>
      </c>
      <c r="F38" s="66" t="s">
        <v>468</v>
      </c>
    </row>
    <row r="39" spans="2:6" x14ac:dyDescent="0.3">
      <c r="B39" s="45">
        <v>2024</v>
      </c>
      <c r="C39" s="46" t="s">
        <v>469</v>
      </c>
      <c r="E39" s="62">
        <v>2025</v>
      </c>
      <c r="F39" s="63" t="s">
        <v>469</v>
      </c>
    </row>
    <row r="40" spans="2:6" x14ac:dyDescent="0.3">
      <c r="B40" s="45">
        <v>2024</v>
      </c>
      <c r="C40" s="46" t="s">
        <v>470</v>
      </c>
      <c r="E40" s="62">
        <v>2025</v>
      </c>
      <c r="F40" s="63" t="s">
        <v>470</v>
      </c>
    </row>
    <row r="41" spans="2:6" x14ac:dyDescent="0.3">
      <c r="B41" s="45">
        <v>2024</v>
      </c>
      <c r="C41" s="46" t="s">
        <v>471</v>
      </c>
      <c r="E41" s="62">
        <v>2025</v>
      </c>
      <c r="F41" s="63" t="s">
        <v>471</v>
      </c>
    </row>
    <row r="42" spans="2:6" x14ac:dyDescent="0.3">
      <c r="B42" s="45">
        <v>2024</v>
      </c>
      <c r="C42" s="46" t="s">
        <v>28</v>
      </c>
      <c r="E42" s="62">
        <v>2025</v>
      </c>
      <c r="F42" s="63" t="s">
        <v>28</v>
      </c>
    </row>
    <row r="43" spans="2:6" ht="15" thickBot="1" x14ac:dyDescent="0.35">
      <c r="B43" s="45">
        <v>2024</v>
      </c>
      <c r="C43" s="49" t="s">
        <v>29</v>
      </c>
      <c r="E43" s="64">
        <v>2025</v>
      </c>
      <c r="F43" s="65" t="s">
        <v>29</v>
      </c>
    </row>
  </sheetData>
  <mergeCells count="5">
    <mergeCell ref="B2:E11"/>
    <mergeCell ref="F2:R11"/>
    <mergeCell ref="B13:C14"/>
    <mergeCell ref="D13:P14"/>
    <mergeCell ref="Q13:R14"/>
  </mergeCells>
  <hyperlinks>
    <hyperlink ref="C28" location="'DEC-2018'!A1" display="December" xr:uid="{00000000-0004-0000-4000-000000000000}"/>
    <hyperlink ref="C27" location="'NOV-2018'!A1" display="November" xr:uid="{00000000-0004-0000-4000-000001000000}"/>
    <hyperlink ref="F17" location="'JAN 2019'!A1" display="January" xr:uid="{00000000-0004-0000-4000-000002000000}"/>
    <hyperlink ref="F18" location="'FEB 2019'!A1" display="February" xr:uid="{00000000-0004-0000-4000-000003000000}"/>
    <hyperlink ref="F19" location="'MARCH 2019'!A1" display="March" xr:uid="{00000000-0004-0000-4000-000004000000}"/>
    <hyperlink ref="F20" location="'APRIL 2019'!A1" display="April" xr:uid="{00000000-0004-0000-4000-000005000000}"/>
    <hyperlink ref="F21" location="'MAY 2019'!A1" display="May" xr:uid="{00000000-0004-0000-4000-000006000000}"/>
    <hyperlink ref="F22" location="'JUNE 2019'!A1" display="June" xr:uid="{00000000-0004-0000-4000-000007000000}"/>
    <hyperlink ref="F23" location="'JULY 2019'!A1" display="July" xr:uid="{00000000-0004-0000-4000-000008000000}"/>
    <hyperlink ref="F24" location="'AUGUST 2019'!A1" display="August" xr:uid="{00000000-0004-0000-4000-000009000000}"/>
    <hyperlink ref="F25" location="'SEP 2019'!A1" display="September" xr:uid="{00000000-0004-0000-4000-00000A000000}"/>
    <hyperlink ref="F26" location="'OCT 2019'!A1" display="October" xr:uid="{00000000-0004-0000-4000-00000B000000}"/>
    <hyperlink ref="F27" location="'NOV 2019'!A1" display="November" xr:uid="{00000000-0004-0000-4000-00000C000000}"/>
    <hyperlink ref="F28" location="'DEC 2019'!A1" display="December" xr:uid="{00000000-0004-0000-4000-00000D000000}"/>
    <hyperlink ref="I18" location="'FEB 2020'!A1" display="February" xr:uid="{00000000-0004-0000-4000-00000E000000}"/>
    <hyperlink ref="I17" location="'JAN 2020'!A1" display="January" xr:uid="{00000000-0004-0000-4000-00000F000000}"/>
    <hyperlink ref="I19" location="'MARCH 2020'!A1" display="March" xr:uid="{00000000-0004-0000-4000-000010000000}"/>
    <hyperlink ref="I20" location="'APRIL 2020'!A1" display="April" xr:uid="{00000000-0004-0000-4000-000011000000}"/>
    <hyperlink ref="I21" location="'MAY 2020'!A1" display="May" xr:uid="{00000000-0004-0000-4000-000012000000}"/>
    <hyperlink ref="I22" location="'JUN 2020'!A1" display="June" xr:uid="{00000000-0004-0000-4000-000013000000}"/>
    <hyperlink ref="I23" location="'JULY 2020'!A1" display="July" xr:uid="{00000000-0004-0000-4000-000014000000}"/>
    <hyperlink ref="I24" location="'AUGUST 2020'!A1" display="August" xr:uid="{00000000-0004-0000-4000-000015000000}"/>
    <hyperlink ref="I25" location="'SEP 2020'!A1" display="September" xr:uid="{00000000-0004-0000-4000-000016000000}"/>
    <hyperlink ref="I26" location="'OCT 2020'!A1" display="October" xr:uid="{00000000-0004-0000-4000-000017000000}"/>
    <hyperlink ref="I27" location="'NOV 2020'!A1" display="November" xr:uid="{00000000-0004-0000-4000-000018000000}"/>
    <hyperlink ref="I28" location="'DEC 2020'!A1" display="December" xr:uid="{00000000-0004-0000-4000-000019000000}"/>
    <hyperlink ref="L17" location="'JAN 2021'!A1" display="January" xr:uid="{00000000-0004-0000-4000-00001A000000}"/>
    <hyperlink ref="L18" location="'FEB 2021'!A1" display="February" xr:uid="{00000000-0004-0000-4000-00001B000000}"/>
    <hyperlink ref="L19" location="'MARCH 2021'!A1" display="March" xr:uid="{00000000-0004-0000-4000-00001C000000}"/>
    <hyperlink ref="L20" location="'APRIL 2021'!A1" display="April" xr:uid="{00000000-0004-0000-4000-00001D000000}"/>
    <hyperlink ref="L21" location="'MAY 2021'!A1" display="May" xr:uid="{00000000-0004-0000-4000-00001E000000}"/>
    <hyperlink ref="L22" location="'JUNE 2021'!A1" display="June" xr:uid="{00000000-0004-0000-4000-00001F000000}"/>
    <hyperlink ref="L23" location="'JULY 2021'!A1" display="July" xr:uid="{00000000-0004-0000-4000-000020000000}"/>
    <hyperlink ref="L24" location="'AUGUST 2021'!A1" display="August" xr:uid="{00000000-0004-0000-4000-000021000000}"/>
    <hyperlink ref="L25" location="'SEP 2021'!A1" display="September" xr:uid="{00000000-0004-0000-4000-000022000000}"/>
    <hyperlink ref="L26" location="'OCT 2021'!A1" display="October" xr:uid="{00000000-0004-0000-4000-000023000000}"/>
    <hyperlink ref="L27" location="'NOV 2021'!A1" display="November" xr:uid="{00000000-0004-0000-4000-000024000000}"/>
    <hyperlink ref="L28" location="'DEC 2021'!A1" display="December" xr:uid="{00000000-0004-0000-4000-000025000000}"/>
    <hyperlink ref="O17" location="'JAN 2022'!A1" display="January" xr:uid="{00000000-0004-0000-4000-000026000000}"/>
    <hyperlink ref="O18" location="'FEB 2022'!A1" display="February" xr:uid="{00000000-0004-0000-4000-000027000000}"/>
    <hyperlink ref="O19" location="'MARCH 2022'!A1" display="March" xr:uid="{00000000-0004-0000-4000-000028000000}"/>
    <hyperlink ref="O20" location="'APRIL 2022'!A1" display="April" xr:uid="{00000000-0004-0000-4000-000029000000}"/>
    <hyperlink ref="O21" location="'MAY 2022'!A1" display="May" xr:uid="{00000000-0004-0000-4000-00002A000000}"/>
    <hyperlink ref="O22" location="'JUN 2022'!A1" display="June" xr:uid="{00000000-0004-0000-4000-00002B000000}"/>
    <hyperlink ref="O23" location="'JULY 2022'!A1" display="July" xr:uid="{00000000-0004-0000-4000-00002C000000}"/>
    <hyperlink ref="O25" location="'SEP 2022'!A1" display="September" xr:uid="{00000000-0004-0000-4000-00002D000000}"/>
    <hyperlink ref="O26" location="'OCT 2022'!A1" display="October" xr:uid="{00000000-0004-0000-4000-00002E000000}"/>
    <hyperlink ref="O27" location="'NOV 2022'!A1" display="November" xr:uid="{00000000-0004-0000-4000-00002F000000}"/>
    <hyperlink ref="O24" r:id="rId1" xr:uid="{00000000-0004-0000-4000-000030000000}"/>
    <hyperlink ref="R17" location="'JAN 2023'!A1" display="JANUARY" xr:uid="{00000000-0004-0000-4000-000031000000}"/>
    <hyperlink ref="R18" location="'FEB 2023'!A1" display="FEBRUARY" xr:uid="{00000000-0004-0000-4000-000032000000}"/>
    <hyperlink ref="R19" location="'MARCH 2023'!A1" display="MARCH" xr:uid="{00000000-0004-0000-4000-000033000000}"/>
    <hyperlink ref="R20" location="'APRIL 2023'!A1" display="APRIL" xr:uid="{00000000-0004-0000-4000-000034000000}"/>
    <hyperlink ref="R21" location="'MAY 2023'!A1" display="MAY" xr:uid="{00000000-0004-0000-4000-000035000000}"/>
    <hyperlink ref="R22" location="'JUN 2023'!A1" display="JUNE" xr:uid="{00000000-0004-0000-4000-000036000000}"/>
    <hyperlink ref="R23" location="'JULY 2023'!A1" display="JULY" xr:uid="{00000000-0004-0000-4000-000037000000}"/>
    <hyperlink ref="R24" location="'AUGUST 2023'!A1" display="AUGUST" xr:uid="{00000000-0004-0000-4000-000038000000}"/>
    <hyperlink ref="R25" location="'SEP 2023'!A1" display="SEPTEMBER" xr:uid="{00000000-0004-0000-4000-000039000000}"/>
    <hyperlink ref="R26" location="'OCT 2023'!A1" display="OCTOBER" xr:uid="{00000000-0004-0000-4000-00003A000000}"/>
    <hyperlink ref="R27" location="'NOV-2023'!A1" display="NOVEMBER" xr:uid="{00000000-0004-0000-4000-00003B000000}"/>
    <hyperlink ref="R28" location="'DEC 2023'!A1" display="DECEMBER" xr:uid="{00000000-0004-0000-4000-00003C000000}"/>
    <hyperlink ref="C43" location="'DEC 2024'!A1" display="December" xr:uid="{00000000-0004-0000-4000-00003D000000}"/>
    <hyperlink ref="C42" location="'NOV 2024'!A1" display="November" xr:uid="{00000000-0004-0000-4000-00003E000000}"/>
    <hyperlink ref="C32" location="'JAN 2024'!A1" display="JANUARY" xr:uid="{00000000-0004-0000-4000-00003F000000}"/>
    <hyperlink ref="C34" location="'MARCH 2024'!A1" display="MARCH" xr:uid="{ABE79CCF-A752-4C74-8C26-6D151B0E7D96}"/>
    <hyperlink ref="C37" location="'JUN 2024'!A1" display="JUNE" xr:uid="{837FD869-1D5F-4E44-910B-0712D09ECA79}"/>
    <hyperlink ref="C38" location="'JULY 2024'!A1" display="JULY" xr:uid="{4B1439CD-C2DB-41D9-A823-F0299FD21FCF}"/>
    <hyperlink ref="C39" location="'AUGUST 2024'!A1" display="AUGUST" xr:uid="{87F701BC-3742-458A-8AC2-8C9042685F50}"/>
    <hyperlink ref="C40" location="'SEP 2024'!A1" display="SEPTEMBER" xr:uid="{6FB00286-992F-409C-9459-6BAA3619E79E}"/>
    <hyperlink ref="C41" location="'OCT 2024'!A1" display="OCTOBER" xr:uid="{C3BD79B8-A101-4766-A322-E4A8E8A39509}"/>
    <hyperlink ref="F32" location="'JAN 2025'!A1" display="JANUARY" xr:uid="{0D0D014B-E8DA-4899-BE71-8A2D8A802D5D}"/>
    <hyperlink ref="F33" location="'FEB 2025'!A1" display="FEBRUARY" xr:uid="{1C287A23-9FD4-451F-8E89-C84CF1A6AB8C}"/>
    <hyperlink ref="F34" location="'MARCH 2025'!A1" display="MARCH" xr:uid="{1EC4D747-45AD-4F50-910F-ECFC4CD6F3BD}"/>
    <hyperlink ref="F35" location="'APRIL 2025'!A1" display="APRIL" xr:uid="{0FFB8A58-C5D4-452F-8F74-470696153230}"/>
    <hyperlink ref="F36" location="'MAY 2025'!A1" display="MAY" xr:uid="{D3CB77A6-1E4D-45E7-8777-F47FCB32A0D0}"/>
    <hyperlink ref="F37" location="'JUN 2025'!A1" display="JUNE" xr:uid="{D9EFC553-CEB7-46BD-8C07-21A3BB662405}"/>
    <hyperlink ref="F38" location="'JULY 2025'!A1" display="JULY" xr:uid="{D1CEE0E6-2C26-4CED-B32F-98A59E6279EE}"/>
  </hyperlinks>
  <pageMargins left="0" right="0" top="0" bottom="0" header="0" footer="0"/>
  <pageSetup scale="8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82</vt:i4>
      </vt:variant>
    </vt:vector>
  </HeadingPairs>
  <TitlesOfParts>
    <vt:vector size="82" baseType="lpstr">
      <vt:lpstr>NOV-2018</vt:lpstr>
      <vt:lpstr>DEC-2018</vt:lpstr>
      <vt:lpstr>JAN 2019</vt:lpstr>
      <vt:lpstr>FEB 2019</vt:lpstr>
      <vt:lpstr>MARCH 2019</vt:lpstr>
      <vt:lpstr>APRIL 2019</vt:lpstr>
      <vt:lpstr>MAY 2019</vt:lpstr>
      <vt:lpstr>JUNE 2019</vt:lpstr>
      <vt:lpstr>JULY 2019</vt:lpstr>
      <vt:lpstr>AUGUST 2019</vt:lpstr>
      <vt:lpstr>SEP 2019</vt:lpstr>
      <vt:lpstr>OCT 2019</vt:lpstr>
      <vt:lpstr>NOV 2019</vt:lpstr>
      <vt:lpstr>DEC 2019</vt:lpstr>
      <vt:lpstr>JAN 2020</vt:lpstr>
      <vt:lpstr>FEB 2020</vt:lpstr>
      <vt:lpstr>MARCH 2020</vt:lpstr>
      <vt:lpstr>APRIL 2020</vt:lpstr>
      <vt:lpstr>MAY 2020</vt:lpstr>
      <vt:lpstr>JUN 2020</vt:lpstr>
      <vt:lpstr>JULY 2020</vt:lpstr>
      <vt:lpstr>AUGUST 2020</vt:lpstr>
      <vt:lpstr>SEP 2020</vt:lpstr>
      <vt:lpstr>OCT 2020</vt:lpstr>
      <vt:lpstr>NOV 2020</vt:lpstr>
      <vt:lpstr>DEC 2020</vt:lpstr>
      <vt:lpstr>JAN 2021</vt:lpstr>
      <vt:lpstr>FEB 2021</vt:lpstr>
      <vt:lpstr>MARCH 2021</vt:lpstr>
      <vt:lpstr>APRIL 2021</vt:lpstr>
      <vt:lpstr>MAY 2021</vt:lpstr>
      <vt:lpstr>JUNE 2021</vt:lpstr>
      <vt:lpstr>JULY 2021</vt:lpstr>
      <vt:lpstr>AUGUST 2021</vt:lpstr>
      <vt:lpstr>SEP 2021</vt:lpstr>
      <vt:lpstr>OCT 2021</vt:lpstr>
      <vt:lpstr>NOV 2021</vt:lpstr>
      <vt:lpstr>DEC 2021</vt:lpstr>
      <vt:lpstr>JAN 2022</vt:lpstr>
      <vt:lpstr>FEB 2022</vt:lpstr>
      <vt:lpstr>MARCH 2022</vt:lpstr>
      <vt:lpstr>APRIL 2022</vt:lpstr>
      <vt:lpstr>MAY 2022</vt:lpstr>
      <vt:lpstr>JUN 2022</vt:lpstr>
      <vt:lpstr>JULY 2022</vt:lpstr>
      <vt:lpstr>AUGUST 2022</vt:lpstr>
      <vt:lpstr>SEP 2022</vt:lpstr>
      <vt:lpstr>OCT 2022</vt:lpstr>
      <vt:lpstr>NOV 2022</vt:lpstr>
      <vt:lpstr>DEC 2022</vt:lpstr>
      <vt:lpstr>JAN 2023</vt:lpstr>
      <vt:lpstr>FEB 2023</vt:lpstr>
      <vt:lpstr>MARCH 2023</vt:lpstr>
      <vt:lpstr>APRIL 2023</vt:lpstr>
      <vt:lpstr>MAY 2023</vt:lpstr>
      <vt:lpstr>JUN 2023</vt:lpstr>
      <vt:lpstr>JULY 2023</vt:lpstr>
      <vt:lpstr>AUGUST 2023</vt:lpstr>
      <vt:lpstr>SEP 2023</vt:lpstr>
      <vt:lpstr>OCT 2023</vt:lpstr>
      <vt:lpstr>NOV-2023</vt:lpstr>
      <vt:lpstr>DEC 2023</vt:lpstr>
      <vt:lpstr>JAN 2024</vt:lpstr>
      <vt:lpstr>FEB 2024</vt:lpstr>
      <vt:lpstr>MARCH 2024</vt:lpstr>
      <vt:lpstr>APRIL 2024</vt:lpstr>
      <vt:lpstr>MAY 2024</vt:lpstr>
      <vt:lpstr>JUN 2024</vt:lpstr>
      <vt:lpstr>JULY 2024</vt:lpstr>
      <vt:lpstr>AUGUST 2024</vt:lpstr>
      <vt:lpstr>SEP 2024</vt:lpstr>
      <vt:lpstr>OCT 2024</vt:lpstr>
      <vt:lpstr>NOV 2024</vt:lpstr>
      <vt:lpstr>DEC 2024</vt:lpstr>
      <vt:lpstr>JAN 2025</vt:lpstr>
      <vt:lpstr>FEB 2025</vt:lpstr>
      <vt:lpstr>MARCH 2025</vt:lpstr>
      <vt:lpstr>APRIL 2025</vt:lpstr>
      <vt:lpstr>MAY 2025</vt:lpstr>
      <vt:lpstr>JUN 2025</vt:lpstr>
      <vt:lpstr>JULY 2025</vt:lpstr>
      <vt:lpstr>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</dc:creator>
  <cp:lastModifiedBy>Kalpesh Patel</cp:lastModifiedBy>
  <dcterms:created xsi:type="dcterms:W3CDTF">2018-11-17T16:20:30Z</dcterms:created>
  <dcterms:modified xsi:type="dcterms:W3CDTF">2025-07-31T11:41:27Z</dcterms:modified>
</cp:coreProperties>
</file>